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490" tabRatio="601" activeTab="0"/>
  </bookViews>
  <sheets>
    <sheet name="data18mm" sheetId="1" r:id="rId1"/>
  </sheets>
  <definedNames>
    <definedName name="b">'data18mm'!$D$5</definedName>
    <definedName name="h">'data18mm'!$D$4</definedName>
    <definedName name="l">'data18mm'!$D$3</definedName>
    <definedName name="p">'data18mm'!$W$30</definedName>
    <definedName name="q">'data18mm'!#REF!</definedName>
    <definedName name="qqq">'data18mm'!#REF!</definedName>
    <definedName name="qqqq">'data18mm'!#REF!</definedName>
    <definedName name="u">'data18mm'!$W$29</definedName>
    <definedName name="v">'data18mm'!$D$6</definedName>
  </definedNames>
  <calcPr fullCalcOnLoad="1"/>
</workbook>
</file>

<file path=xl/sharedStrings.xml><?xml version="1.0" encoding="utf-8"?>
<sst xmlns="http://schemas.openxmlformats.org/spreadsheetml/2006/main" count="83" uniqueCount="81">
  <si>
    <t>delta</t>
  </si>
  <si>
    <t>W</t>
  </si>
  <si>
    <t>ZG</t>
  </si>
  <si>
    <t>zgmax</t>
  </si>
  <si>
    <t>X</t>
  </si>
  <si>
    <t>beta / c mi</t>
  </si>
  <si>
    <t>lambda</t>
  </si>
  <si>
    <t>rho</t>
  </si>
  <si>
    <t>cp</t>
  </si>
  <si>
    <t>a</t>
  </si>
  <si>
    <t>alfa mean</t>
  </si>
  <si>
    <t>L=</t>
  </si>
  <si>
    <t>H=</t>
  </si>
  <si>
    <t>B=</t>
  </si>
  <si>
    <t>Geometrie:</t>
  </si>
  <si>
    <t>P</t>
  </si>
  <si>
    <t>Q</t>
  </si>
  <si>
    <t>Qh</t>
  </si>
  <si>
    <t>umean</t>
  </si>
  <si>
    <t>Vl</t>
  </si>
  <si>
    <t>Vr</t>
  </si>
  <si>
    <t>Vl/Vr</t>
  </si>
  <si>
    <t>X v m</t>
  </si>
  <si>
    <t>dT</t>
  </si>
  <si>
    <t>TinOp</t>
  </si>
  <si>
    <t>T7in</t>
  </si>
  <si>
    <t>beta /cmiOP</t>
  </si>
  <si>
    <t>lambdaOP</t>
  </si>
  <si>
    <t>rhoOP</t>
  </si>
  <si>
    <t>cpOP</t>
  </si>
  <si>
    <t>aOP</t>
  </si>
  <si>
    <t>deltaOP</t>
  </si>
  <si>
    <t>alfa meanOP</t>
  </si>
  <si>
    <t>WOP</t>
  </si>
  <si>
    <t>ZGop</t>
  </si>
  <si>
    <t>zgmaxOP</t>
  </si>
  <si>
    <t>V´=</t>
  </si>
  <si>
    <t>t*</t>
  </si>
  <si>
    <t>Soubor</t>
  </si>
  <si>
    <t>08051241</t>
  </si>
  <si>
    <t>08051236</t>
  </si>
  <si>
    <t>08051247</t>
  </si>
  <si>
    <t>08051257</t>
  </si>
  <si>
    <t>08051301</t>
  </si>
  <si>
    <t>08051314</t>
  </si>
  <si>
    <t>08051317</t>
  </si>
  <si>
    <t>08051310</t>
  </si>
  <si>
    <t>08051333</t>
  </si>
  <si>
    <t>08051337</t>
  </si>
  <si>
    <t>08051329</t>
  </si>
  <si>
    <t>08051347</t>
  </si>
  <si>
    <t>08051350</t>
  </si>
  <si>
    <t>08051353</t>
  </si>
  <si>
    <t>08051415</t>
  </si>
  <si>
    <t>08051407</t>
  </si>
  <si>
    <t>08051412</t>
  </si>
  <si>
    <t>08051429</t>
  </si>
  <si>
    <t>08051436</t>
  </si>
  <si>
    <t>08051433</t>
  </si>
  <si>
    <t>08051506</t>
  </si>
  <si>
    <t>08051510</t>
  </si>
  <si>
    <t>08051501</t>
  </si>
  <si>
    <t>08051528</t>
  </si>
  <si>
    <t>08051521</t>
  </si>
  <si>
    <t>08051525</t>
  </si>
  <si>
    <t>dtfirst</t>
  </si>
  <si>
    <t>dt mean</t>
  </si>
  <si>
    <t>dtmeanZ</t>
  </si>
  <si>
    <t>t*Z</t>
  </si>
  <si>
    <t>21051930</t>
  </si>
  <si>
    <t>18052213</t>
  </si>
  <si>
    <t>21051938</t>
  </si>
  <si>
    <t>Dle X</t>
  </si>
  <si>
    <t>Stabilita</t>
  </si>
  <si>
    <t>Dle RTD</t>
  </si>
  <si>
    <t>Dle T*</t>
  </si>
  <si>
    <t xml:space="preserve"> </t>
  </si>
  <si>
    <t>Male vykony (oznacene zlute) byly zvyseny o 100 W (viz test Wattmetru, ktery provadel M.Novy 22.5.2001)</t>
  </si>
  <si>
    <t>viskozita</t>
  </si>
  <si>
    <t>ZGO-ZGcrit</t>
  </si>
  <si>
    <t>T*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</si>
</sst>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</numFmts>
  <fonts count="20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5.75"/>
      <name val="Arial CE"/>
      <family val="0"/>
    </font>
    <font>
      <sz val="19.75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7.25"/>
      <name val="Times New Roman"/>
      <family val="1"/>
    </font>
    <font>
      <vertAlign val="subscript"/>
      <sz val="17.25"/>
      <name val="Times New Roman"/>
      <family val="1"/>
    </font>
    <font>
      <sz val="13.75"/>
      <name val="Times New Roman"/>
      <family val="1"/>
    </font>
    <font>
      <sz val="14.25"/>
      <name val="Times New Roman"/>
      <family val="1"/>
    </font>
    <font>
      <sz val="15.5"/>
      <name val="Times New Roman"/>
      <family val="1"/>
    </font>
    <font>
      <vertAlign val="subscript"/>
      <sz val="14.25"/>
      <name val="Times New Roman"/>
      <family val="1"/>
    </font>
    <font>
      <sz val="17"/>
      <name val="Times New Roman"/>
      <family val="1"/>
    </font>
    <font>
      <vertAlign val="subscript"/>
      <sz val="17"/>
      <name val="Times New Roman"/>
      <family val="1"/>
    </font>
    <font>
      <sz val="17.75"/>
      <name val="Times New Roman"/>
      <family val="1"/>
    </font>
    <font>
      <sz val="18"/>
      <name val="Times New Roman"/>
      <family val="1"/>
    </font>
    <font>
      <vertAlign val="subscript"/>
      <sz val="18"/>
      <name val="Times New Roman"/>
      <family val="1"/>
    </font>
    <font>
      <sz val="1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0.9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data18mm!$AP$8:$AP$24</c:f>
              <c:numCache/>
            </c:numRef>
          </c:xVal>
          <c:yVal>
            <c:numRef>
              <c:f>data18mm!$AO$8:$AO$24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data18mm!$AP$25:$AP$67</c:f>
              <c:numCache/>
            </c:numRef>
          </c:xVal>
          <c:yVal>
            <c:numRef>
              <c:f>data18mm!$AO$25:$AO$67</c:f>
              <c:numCache/>
            </c:numRef>
          </c:yVal>
          <c:smooth val="0"/>
        </c:ser>
        <c:axId val="612520"/>
        <c:axId val="5512681"/>
      </c:scatterChart>
      <c:valAx>
        <c:axId val="612520"/>
        <c:scaling>
          <c:orientation val="minMax"/>
          <c:max val="1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/>
                  <a:t>Z</a:t>
                </a:r>
                <a:r>
                  <a:rPr lang="en-US" cap="none" sz="1700" b="0" i="0" u="none" baseline="-25000"/>
                  <a:t>G</a:t>
                </a:r>
                <a:r>
                  <a:rPr lang="en-US" cap="none" sz="1700" b="0" i="0" u="none" baseline="0"/>
                  <a:t>-Z</a:t>
                </a:r>
                <a:r>
                  <a:rPr lang="en-US" cap="none" sz="1700" b="0" i="0" u="none" baseline="-25000"/>
                  <a:t>Gcrit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5512681"/>
        <c:crosses val="autoZero"/>
        <c:crossBetween val="midCat"/>
        <c:dispUnits/>
        <c:majorUnit val="10"/>
      </c:valAx>
      <c:valAx>
        <c:axId val="5512681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V/V</a:t>
                </a:r>
                <a:r>
                  <a:rPr lang="en-US" cap="none" sz="1425" b="0" i="0" u="none" baseline="-25000"/>
                  <a:t>theor</a:t>
                </a:r>
              </a:p>
            </c:rich>
          </c:tx>
          <c:layout>
            <c:manualLayout>
              <c:xMode val="factor"/>
              <c:yMode val="factor"/>
              <c:x val="0.1977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612520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9325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data18mm!$AJ$8:$AJ$23</c:f>
              <c:numCache/>
            </c:numRef>
          </c:xVal>
          <c:yVal>
            <c:numRef>
              <c:f>data18mm!$AI$8:$AI$23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data18mm!$AJ$24:$AJ$67</c:f>
              <c:numCache/>
            </c:numRef>
          </c:xVal>
          <c:yVal>
            <c:numRef>
              <c:f>data18mm!$AI$24:$AI$67</c:f>
              <c:numCache/>
            </c:numRef>
          </c:yVal>
          <c:smooth val="0"/>
        </c:ser>
        <c:axId val="49614130"/>
        <c:axId val="43873987"/>
      </c:scatterChart>
      <c:valAx>
        <c:axId val="49614130"/>
        <c:scaling>
          <c:orientation val="minMax"/>
          <c:max val="1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Z</a:t>
                </a:r>
                <a:r>
                  <a:rPr lang="en-US" cap="none" sz="1725" b="0" i="0" u="none" baseline="-25000"/>
                  <a:t>G</a:t>
                </a:r>
                <a:r>
                  <a:rPr lang="en-US" cap="none" sz="1725" b="0" i="0" u="none" baseline="0"/>
                  <a:t>-Z</a:t>
                </a:r>
                <a:r>
                  <a:rPr lang="en-US" cap="none" sz="1725" b="0" i="0" u="none" baseline="-25000"/>
                  <a:t>Gcrit</a:t>
                </a:r>
              </a:p>
            </c:rich>
          </c:tx>
          <c:layout>
            <c:manualLayout>
              <c:xMode val="factor"/>
              <c:yMode val="factor"/>
              <c:x val="0.027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43873987"/>
        <c:crosses val="autoZero"/>
        <c:crossBetween val="midCat"/>
        <c:dispUnits/>
        <c:majorUnit val="10"/>
      </c:valAx>
      <c:valAx>
        <c:axId val="438739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u</a:t>
                </a:r>
                <a:r>
                  <a:rPr lang="en-US" cap="none" sz="1725" b="0" i="0" u="none" baseline="-25000"/>
                  <a:t>min</a:t>
                </a:r>
                <a:r>
                  <a:rPr lang="en-US" cap="none" sz="1725" b="0" i="0" u="none" baseline="0"/>
                  <a:t>/u</a:t>
                </a:r>
                <a:r>
                  <a:rPr lang="en-US" cap="none" sz="1725" b="0" i="0" u="none" baseline="-25000"/>
                  <a:t>max</a:t>
                </a:r>
              </a:p>
            </c:rich>
          </c:tx>
          <c:layout>
            <c:manualLayout>
              <c:xMode val="factor"/>
              <c:yMode val="factor"/>
              <c:x val="0.172"/>
              <c:y val="0.0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49614130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1"/>
          <c:w val="0.9"/>
          <c:h val="0.8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data18mm!$AP$8:$AP$44</c:f>
              <c:numCache/>
            </c:numRef>
          </c:xVal>
          <c:yVal>
            <c:numRef>
              <c:f>data18mm!$AQ$8:$AQ$44</c:f>
              <c:numCache/>
            </c:numRef>
          </c:yVal>
          <c:smooth val="0"/>
        </c:ser>
        <c:axId val="59321564"/>
        <c:axId val="64132029"/>
      </c:scatterChart>
      <c:valAx>
        <c:axId val="59321564"/>
        <c:scaling>
          <c:orientation val="minMax"/>
          <c:max val="1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Z</a:t>
                </a:r>
                <a:r>
                  <a:rPr lang="en-US" cap="none" sz="1800" b="0" i="0" u="none" baseline="-25000"/>
                  <a:t>G</a:t>
                </a:r>
                <a:r>
                  <a:rPr lang="en-US" cap="none" sz="1800" b="0" i="0" u="none" baseline="0"/>
                  <a:t>-Z</a:t>
                </a:r>
                <a:r>
                  <a:rPr lang="en-US" cap="none" sz="1800" b="0" i="0" u="none" baseline="-25000"/>
                  <a:t>Gcrit</a:t>
                </a:r>
              </a:p>
            </c:rich>
          </c:tx>
          <c:layout>
            <c:manualLayout>
              <c:xMode val="factor"/>
              <c:yMode val="factor"/>
              <c:x val="0.013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4132029"/>
        <c:crosses val="autoZero"/>
        <c:crossBetween val="midCat"/>
        <c:dispUnits/>
        <c:majorUnit val="10"/>
        <c:minorUnit val="2"/>
      </c:valAx>
      <c:valAx>
        <c:axId val="64132029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D</a:t>
                </a:r>
                <a:r>
                  <a:rPr lang="en-US" cap="none" sz="1800" b="0" i="0" u="none" baseline="0"/>
                  <a:t>T/T</a:t>
                </a:r>
              </a:p>
            </c:rich>
          </c:tx>
          <c:layout>
            <c:manualLayout>
              <c:xMode val="factor"/>
              <c:yMode val="factor"/>
              <c:x val="0.200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9321564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76200</xdr:colOff>
      <xdr:row>25</xdr:row>
      <xdr:rowOff>123825</xdr:rowOff>
    </xdr:from>
    <xdr:to>
      <xdr:col>52</xdr:col>
      <xdr:colOff>352425</xdr:colOff>
      <xdr:row>52</xdr:row>
      <xdr:rowOff>123825</xdr:rowOff>
    </xdr:to>
    <xdr:graphicFrame>
      <xdr:nvGraphicFramePr>
        <xdr:cNvPr id="1" name="Chart 9"/>
        <xdr:cNvGraphicFramePr/>
      </xdr:nvGraphicFramePr>
      <xdr:xfrm>
        <a:off x="9429750" y="4324350"/>
        <a:ext cx="6448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133350</xdr:colOff>
      <xdr:row>0</xdr:row>
      <xdr:rowOff>38100</xdr:rowOff>
    </xdr:from>
    <xdr:to>
      <xdr:col>52</xdr:col>
      <xdr:colOff>304800</xdr:colOff>
      <xdr:row>25</xdr:row>
      <xdr:rowOff>0</xdr:rowOff>
    </xdr:to>
    <xdr:graphicFrame>
      <xdr:nvGraphicFramePr>
        <xdr:cNvPr id="2" name="Chart 8"/>
        <xdr:cNvGraphicFramePr/>
      </xdr:nvGraphicFramePr>
      <xdr:xfrm>
        <a:off x="9486900" y="38100"/>
        <a:ext cx="63436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47625</xdr:colOff>
      <xdr:row>53</xdr:row>
      <xdr:rowOff>57150</xdr:rowOff>
    </xdr:from>
    <xdr:to>
      <xdr:col>52</xdr:col>
      <xdr:colOff>495300</xdr:colOff>
      <xdr:row>81</xdr:row>
      <xdr:rowOff>123825</xdr:rowOff>
    </xdr:to>
    <xdr:graphicFrame>
      <xdr:nvGraphicFramePr>
        <xdr:cNvPr id="3" name="Chart 12"/>
        <xdr:cNvGraphicFramePr/>
      </xdr:nvGraphicFramePr>
      <xdr:xfrm>
        <a:off x="9401175" y="8791575"/>
        <a:ext cx="66198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95"/>
  <sheetViews>
    <sheetView tabSelected="1" workbookViewId="0" topLeftCell="AO54">
      <selection activeCell="AU85" sqref="AU85"/>
    </sheetView>
  </sheetViews>
  <sheetFormatPr defaultColWidth="9.00390625" defaultRowHeight="12.75"/>
  <cols>
    <col min="1" max="1" width="9.75390625" style="0" hidden="1" customWidth="1"/>
    <col min="2" max="2" width="10.125" style="5" customWidth="1"/>
    <col min="3" max="3" width="10.125" style="0" customWidth="1"/>
    <col min="4" max="5" width="10.125" style="0" hidden="1" customWidth="1"/>
    <col min="6" max="6" width="6.75390625" style="0" hidden="1" customWidth="1"/>
    <col min="7" max="7" width="7.25390625" style="0" customWidth="1"/>
    <col min="8" max="8" width="9.00390625" style="0" hidden="1" customWidth="1"/>
    <col min="9" max="11" width="9.125" style="0" hidden="1" customWidth="1"/>
    <col min="12" max="12" width="6.625" style="0" hidden="1" customWidth="1"/>
    <col min="13" max="13" width="11.875" style="0" hidden="1" customWidth="1"/>
    <col min="14" max="15" width="6.625" style="0" hidden="1" customWidth="1"/>
    <col min="16" max="16" width="7.625" style="0" hidden="1" customWidth="1"/>
    <col min="17" max="18" width="6.625" style="0" hidden="1" customWidth="1"/>
    <col min="19" max="19" width="10.25390625" style="0" hidden="1" customWidth="1"/>
    <col min="20" max="20" width="6.625" style="0" hidden="1" customWidth="1"/>
    <col min="21" max="21" width="6.625" style="0" customWidth="1"/>
    <col min="22" max="22" width="7.25390625" style="0" customWidth="1"/>
    <col min="23" max="23" width="10.00390625" style="0" hidden="1" customWidth="1"/>
    <col min="24" max="24" width="9.625" style="0" hidden="1" customWidth="1"/>
    <col min="25" max="26" width="9.125" style="0" hidden="1" customWidth="1"/>
    <col min="27" max="27" width="13.875" style="0" hidden="1" customWidth="1"/>
    <col min="28" max="28" width="9.125" style="0" hidden="1" customWidth="1"/>
    <col min="29" max="29" width="11.875" style="0" hidden="1" customWidth="1"/>
    <col min="30" max="30" width="11.00390625" style="0" hidden="1" customWidth="1"/>
    <col min="31" max="32" width="6.125" style="0" hidden="1" customWidth="1"/>
    <col min="33" max="33" width="6.375" style="0" hidden="1" customWidth="1"/>
    <col min="34" max="34" width="8.375" style="0" hidden="1" customWidth="1"/>
    <col min="35" max="35" width="8.625" style="0" customWidth="1"/>
    <col min="36" max="36" width="9.375" style="0" customWidth="1"/>
    <col min="40" max="40" width="0" style="0" hidden="1" customWidth="1"/>
    <col min="41" max="41" width="12.375" style="0" bestFit="1" customWidth="1"/>
    <col min="42" max="43" width="12.00390625" style="0" customWidth="1"/>
  </cols>
  <sheetData>
    <row r="2" spans="3:43" ht="12.75">
      <c r="C2" t="s">
        <v>14</v>
      </c>
      <c r="O2">
        <f>0.001</f>
        <v>0.001</v>
      </c>
      <c r="U2" s="19" t="s">
        <v>77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3:15" ht="15.75">
      <c r="C3" s="3" t="s">
        <v>11</v>
      </c>
      <c r="D3" s="3">
        <f>0.56</f>
        <v>0.56</v>
      </c>
      <c r="E3" s="3"/>
      <c r="F3" s="3"/>
      <c r="H3" s="3"/>
      <c r="I3" s="3"/>
      <c r="J3" s="3"/>
      <c r="O3">
        <f>h*1000*0.00003/(24*b*l*0.001)</f>
        <v>0.5022321428571428</v>
      </c>
    </row>
    <row r="4" spans="3:15" ht="15.75">
      <c r="C4" s="3" t="s">
        <v>12</v>
      </c>
      <c r="D4" s="3">
        <v>0.018</v>
      </c>
      <c r="E4" s="3"/>
      <c r="F4" s="3"/>
      <c r="H4" s="3"/>
      <c r="I4" s="3"/>
      <c r="J4" s="3"/>
      <c r="O4" s="16" t="s">
        <v>76</v>
      </c>
    </row>
    <row r="5" spans="3:10" ht="15.75">
      <c r="C5" s="3" t="s">
        <v>13</v>
      </c>
      <c r="D5" s="3">
        <v>0.08</v>
      </c>
      <c r="E5" s="3"/>
      <c r="F5" s="3"/>
      <c r="H5" s="3"/>
      <c r="I5" s="3"/>
      <c r="J5" s="3"/>
    </row>
    <row r="6" spans="3:45" ht="12.75">
      <c r="C6" t="s">
        <v>36</v>
      </c>
      <c r="D6" s="4">
        <v>0.00397986</v>
      </c>
      <c r="AS6" t="s">
        <v>73</v>
      </c>
    </row>
    <row r="7" spans="1:46" s="1" customFormat="1" ht="15.75">
      <c r="A7" s="1" t="s">
        <v>78</v>
      </c>
      <c r="B7" s="6" t="s">
        <v>38</v>
      </c>
      <c r="C7" s="1" t="s">
        <v>15</v>
      </c>
      <c r="D7" s="1" t="s">
        <v>25</v>
      </c>
      <c r="E7" s="1" t="s">
        <v>24</v>
      </c>
      <c r="F7" s="1" t="s">
        <v>23</v>
      </c>
      <c r="G7" s="1" t="s">
        <v>16</v>
      </c>
      <c r="H7" s="1" t="s">
        <v>16</v>
      </c>
      <c r="I7" s="1" t="s">
        <v>17</v>
      </c>
      <c r="J7" s="1" t="s">
        <v>18</v>
      </c>
      <c r="K7" s="1" t="s">
        <v>4</v>
      </c>
      <c r="L7" s="1" t="s">
        <v>22</v>
      </c>
      <c r="M7" s="1" t="s">
        <v>26</v>
      </c>
      <c r="N7" s="1" t="s">
        <v>27</v>
      </c>
      <c r="O7" s="1" t="s">
        <v>28</v>
      </c>
      <c r="P7" s="1" t="s">
        <v>29</v>
      </c>
      <c r="Q7" s="2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5</v>
      </c>
      <c r="X7" s="1" t="s">
        <v>6</v>
      </c>
      <c r="Y7" s="1" t="s">
        <v>7</v>
      </c>
      <c r="Z7" s="1" t="s">
        <v>8</v>
      </c>
      <c r="AA7" s="2" t="s">
        <v>9</v>
      </c>
      <c r="AB7" s="1" t="s">
        <v>0</v>
      </c>
      <c r="AC7" s="1" t="s">
        <v>10</v>
      </c>
      <c r="AD7" s="1" t="s">
        <v>1</v>
      </c>
      <c r="AE7" s="1" t="s">
        <v>2</v>
      </c>
      <c r="AF7" s="1" t="s">
        <v>3</v>
      </c>
      <c r="AG7" s="1" t="s">
        <v>19</v>
      </c>
      <c r="AH7" s="1" t="s">
        <v>20</v>
      </c>
      <c r="AI7" s="1" t="s">
        <v>21</v>
      </c>
      <c r="AJ7" s="1" t="s">
        <v>79</v>
      </c>
      <c r="AK7" s="1" t="s">
        <v>66</v>
      </c>
      <c r="AL7" s="1" t="s">
        <v>37</v>
      </c>
      <c r="AM7" s="1" t="s">
        <v>67</v>
      </c>
      <c r="AN7" s="1" t="s">
        <v>65</v>
      </c>
      <c r="AO7" s="1" t="s">
        <v>68</v>
      </c>
      <c r="AP7" s="1" t="s">
        <v>79</v>
      </c>
      <c r="AQ7" s="1" t="s">
        <v>80</v>
      </c>
      <c r="AR7" s="1" t="s">
        <v>72</v>
      </c>
      <c r="AS7" s="1" t="s">
        <v>74</v>
      </c>
      <c r="AT7" s="1" t="s">
        <v>75</v>
      </c>
    </row>
    <row r="8" spans="1:43" s="8" customFormat="1" ht="12.75">
      <c r="A8" s="8">
        <f>0.0014-0.00002*E8</f>
        <v>0.0008523864026620886</v>
      </c>
      <c r="B8" s="7">
        <v>19051522</v>
      </c>
      <c r="C8" s="8">
        <v>5970</v>
      </c>
      <c r="D8" s="8">
        <v>23.8</v>
      </c>
      <c r="E8" s="8">
        <f>D8+F8</f>
        <v>27.38067986689557</v>
      </c>
      <c r="F8" s="8">
        <f aca="true" t="shared" si="0" ref="F8:F39">(C8/b*l/AC8/AD8)*((AD8/2-(AD8/2*(1-(AD8/2)))-(AD8/2)^2)*(1-EXP(-2/AD8))+0.5)</f>
        <v>3.58067986689557</v>
      </c>
      <c r="G8" s="8">
        <v>60.7</v>
      </c>
      <c r="H8" s="10">
        <f aca="true" t="shared" si="1" ref="H8:H55">G8*0.000001</f>
        <v>6.07E-05</v>
      </c>
      <c r="I8" s="10">
        <f aca="true" t="shared" si="2" ref="I8:I55">H8/2</f>
        <v>3.035E-05</v>
      </c>
      <c r="J8" s="10">
        <f aca="true" t="shared" si="3" ref="J8:J55">I8/(b*h)</f>
        <v>0.02107638888888889</v>
      </c>
      <c r="K8" s="8">
        <v>-55.9</v>
      </c>
      <c r="L8" s="8">
        <f aca="true" t="shared" si="4" ref="L8:L67">K8/100</f>
        <v>-0.5589999999999999</v>
      </c>
      <c r="M8" s="11">
        <f>0.00000004*E8^2+0.000002*E8-0.000008</f>
        <v>7.674942493272795E-05</v>
      </c>
      <c r="N8" s="10">
        <f>0.574+0.00131*E8</f>
        <v>0.6098686906256332</v>
      </c>
      <c r="O8" s="8">
        <f>10^(3+LOG10(0.3471)-(1-(E8+273.15)/(374.2+273.15))^(2/7)*LOG10(0.274))</f>
        <v>1025.3671842405827</v>
      </c>
      <c r="P8" s="8">
        <f>4.1868*(0.6741+(0.002825*(E8+273.15))+(-0.000008371*((E8+273.15)^2))+(0.000000008601*((E8+273.15)^3)))*1000</f>
        <v>4188.905892134069</v>
      </c>
      <c r="Q8" s="10">
        <f>N8/(O8*P8)</f>
        <v>1.4198952957806907E-07</v>
      </c>
      <c r="R8" s="10">
        <f>(2*Q8*h*l/3/J8)^0.3333</f>
        <v>0.003566054167461977</v>
      </c>
      <c r="S8" s="12">
        <f>1/((1/(N8/R8*1.5))+(0.002/15))</f>
        <v>248.0466686687992</v>
      </c>
      <c r="T8" s="13">
        <f>H8*O8*P8/(S8*b*l)</f>
        <v>23.461582173058435</v>
      </c>
      <c r="U8" s="13">
        <f>9.81*M8*C8*b*h^3/(12*H8^2*(1.16+h*O8*H8/(48*b*l*A8)))</f>
        <v>26.779300056644534</v>
      </c>
      <c r="V8" s="13">
        <f>1/((2+T8)*(1-T8/2*(1-EXP(-2/T8)))-1)</f>
        <v>18.16386534967548</v>
      </c>
      <c r="W8" s="11">
        <f aca="true" t="shared" si="5" ref="W8:W66">0.00000004*D8^2+0.000002*D8-0.000008</f>
        <v>6.22576E-05</v>
      </c>
      <c r="X8" s="10">
        <f>0.574+0.00131*D8</f>
        <v>0.605178</v>
      </c>
      <c r="Y8" s="8">
        <f aca="true" t="shared" si="6" ref="Y8:Y66">10^(3+LOG10(0.3471)-(1-(D8+273.15)/(374.2+273.15))^(2/7)*LOG10(0.274))</f>
        <v>1028.636644406732</v>
      </c>
      <c r="Z8" s="8">
        <f aca="true" t="shared" si="7" ref="Z8:Z66">4.1868*(0.6741+(0.002825*(D8+273.15))+(-0.000008371*((D8+273.15)^2))+(0.000000008601*((D8+273.15)^3)))*1000</f>
        <v>4187.012065446875</v>
      </c>
      <c r="AA8" s="10">
        <f>X8/(Y8*Z8)</f>
        <v>1.4051313637236918E-07</v>
      </c>
      <c r="AB8" s="10">
        <f aca="true" t="shared" si="8" ref="AB8:AB39">(2*AA8*h*l/3/J8)^0.3333</f>
        <v>0.003553652490458424</v>
      </c>
      <c r="AC8" s="12">
        <f>1/((1/(X8/AB8*1.5))+(0.002/15))</f>
        <v>247.03239503703142</v>
      </c>
      <c r="AD8" s="13">
        <f>H8*Y8*Z8/(AC8*b*l)</f>
        <v>23.622343049008037</v>
      </c>
      <c r="AE8" s="13">
        <f aca="true" t="shared" si="9" ref="AE8:AE39">9.81*W8*C8*b*h^3/(12*H8^2)</f>
        <v>38.47552791772038</v>
      </c>
      <c r="AF8" s="13">
        <f>1/((2+AD8)*(1-AD8/2*(1-EXP(-2/AD8)))-1)</f>
        <v>18.284400873035235</v>
      </c>
      <c r="AG8" s="8">
        <f aca="true" t="shared" si="10" ref="AG8:AG67">H8/(b*h*(1+(l-ABS(L8))/l))</f>
        <v>0.04207763913646266</v>
      </c>
      <c r="AH8" s="8">
        <f aca="true" t="shared" si="11" ref="AH8:AH39">(l-ABS(L8))/l*AG8</f>
        <v>7.51386413151203E-05</v>
      </c>
      <c r="AI8" s="8">
        <f aca="true" t="shared" si="12" ref="AI8:AI67">AH8/AG8</f>
        <v>0.0017857142857144854</v>
      </c>
      <c r="AJ8" s="9">
        <f>U8-V8</f>
        <v>8.615434706969054</v>
      </c>
      <c r="AK8" s="8">
        <v>50.949</v>
      </c>
      <c r="AL8" s="8">
        <f aca="true" t="shared" si="13" ref="AL8:AL67">AK8/(v/H8)</f>
        <v>0.7770635901765388</v>
      </c>
      <c r="AM8" s="8">
        <v>48.96</v>
      </c>
      <c r="AN8" s="8">
        <v>31.304</v>
      </c>
      <c r="AO8" s="8">
        <f aca="true" t="shared" si="14" ref="AO8:AO44">AM8/(v/H8)</f>
        <v>0.7467277743438212</v>
      </c>
      <c r="AP8" s="9">
        <f>U8-V8</f>
        <v>8.615434706969054</v>
      </c>
      <c r="AQ8" s="8">
        <v>0.7669514884233737</v>
      </c>
    </row>
    <row r="9" spans="1:43" s="8" customFormat="1" ht="12.75">
      <c r="A9" s="8">
        <f aca="true" t="shared" si="15" ref="A9:A67">0.0014-0.00002*E9</f>
        <v>0.0008566183938922703</v>
      </c>
      <c r="B9" s="7">
        <v>19051527</v>
      </c>
      <c r="C9" s="8">
        <v>6030</v>
      </c>
      <c r="D9" s="8">
        <v>23.6</v>
      </c>
      <c r="E9" s="8">
        <f aca="true" t="shared" si="16" ref="E9:E67">D9+F9</f>
        <v>27.16908030538648</v>
      </c>
      <c r="F9" s="8">
        <f t="shared" si="0"/>
        <v>3.56908030538648</v>
      </c>
      <c r="G9" s="8">
        <v>61.5</v>
      </c>
      <c r="H9" s="10">
        <f t="shared" si="1"/>
        <v>6.149999999999999E-05</v>
      </c>
      <c r="I9" s="10">
        <f t="shared" si="2"/>
        <v>3.0749999999999995E-05</v>
      </c>
      <c r="J9" s="10">
        <f t="shared" si="3"/>
        <v>0.021354166666666664</v>
      </c>
      <c r="K9" s="8">
        <v>-55.9</v>
      </c>
      <c r="L9" s="8">
        <f t="shared" si="4"/>
        <v>-0.5589999999999999</v>
      </c>
      <c r="M9" s="11">
        <f aca="true" t="shared" si="17" ref="M9:M67">0.00000004*E9^2+0.000002*E9-0.000008</f>
        <v>7.586451759639454E-05</v>
      </c>
      <c r="N9" s="10">
        <f aca="true" t="shared" si="18" ref="N9:N67">0.574+0.00131*E9</f>
        <v>0.6095914952000563</v>
      </c>
      <c r="O9" s="8">
        <f aca="true" t="shared" si="19" ref="O9:O67">10^(3+LOG10(0.3471)-(1-(E9+273.15)/(374.2+273.15))^(2/7)*LOG10(0.274))</f>
        <v>1025.560770769638</v>
      </c>
      <c r="P9" s="8">
        <f aca="true" t="shared" si="20" ref="P9:P67">4.1868*(0.6741+(0.002825*(E9+273.15))+(-0.000008371*((E9+273.15)^2))+(0.000000008601*((E9+273.15)^3)))*1000</f>
        <v>4188.795914001141</v>
      </c>
      <c r="Q9" s="10">
        <f aca="true" t="shared" si="21" ref="Q9:Q67">N9/(O9*P9)</f>
        <v>1.4190192857141528E-07</v>
      </c>
      <c r="R9" s="10">
        <f aca="true" t="shared" si="22" ref="R9:R67">(2*Q9*h*l/3/J9)^0.3333</f>
        <v>0.003549795368965365</v>
      </c>
      <c r="S9" s="12">
        <f aca="true" t="shared" si="23" ref="S9:S67">1/((1/(N9/R9*1.5))+(0.002/15))</f>
        <v>249.03555273601077</v>
      </c>
      <c r="T9" s="13">
        <f aca="true" t="shared" si="24" ref="T9:T67">H9*O9*P9/(S9*b*l)</f>
        <v>23.680253702040332</v>
      </c>
      <c r="U9" s="13">
        <f aca="true" t="shared" si="25" ref="U9:U67">9.81*M9*C9*b*h^3/(12*H9^2*(1.16+h*O9*H9/(48*b*l*A9)))</f>
        <v>25.97055243530191</v>
      </c>
      <c r="V9" s="13">
        <f aca="true" t="shared" si="26" ref="V9:V67">1/((2+T9)*(1-T9/2*(1-EXP(-2/T9)))-1)</f>
        <v>18.327821323184672</v>
      </c>
      <c r="W9" s="11">
        <f t="shared" si="5"/>
        <v>6.14784E-05</v>
      </c>
      <c r="X9" s="10">
        <f aca="true" t="shared" si="27" ref="X9:X66">0.574+0.00131*D9</f>
        <v>0.604916</v>
      </c>
      <c r="Y9" s="8">
        <f t="shared" si="6"/>
        <v>1028.8188619618834</v>
      </c>
      <c r="Z9" s="8">
        <f t="shared" si="7"/>
        <v>4186.904133304772</v>
      </c>
      <c r="AA9" s="10">
        <f aca="true" t="shared" si="28" ref="AA9:AA66">X9/(Y9*Z9)</f>
        <v>1.4043104798478886E-07</v>
      </c>
      <c r="AB9" s="10">
        <f t="shared" si="8"/>
        <v>0.0035374888715080308</v>
      </c>
      <c r="AC9" s="12">
        <f aca="true" t="shared" si="29" ref="AC9:AC67">1/((1/(X9/AB9*1.5))+(0.002/15))</f>
        <v>248.01993353087926</v>
      </c>
      <c r="AD9" s="13">
        <f aca="true" t="shared" si="30" ref="AD9:AD67">H9*Y9*Z9/(AC9*b*l)</f>
        <v>23.84198716780003</v>
      </c>
      <c r="AE9" s="13">
        <f t="shared" si="9"/>
        <v>37.38392532530256</v>
      </c>
      <c r="AF9" s="13">
        <f aca="true" t="shared" si="31" ref="AF9:AF67">1/((2+AD9)*(1-AD9/2*(1-EXP(-2/AD9)))-1)</f>
        <v>18.449086723301317</v>
      </c>
      <c r="AG9" s="8">
        <f t="shared" si="10"/>
        <v>0.04263220439691027</v>
      </c>
      <c r="AH9" s="8">
        <f t="shared" si="11"/>
        <v>7.612893642306256E-05</v>
      </c>
      <c r="AI9" s="8">
        <f t="shared" si="12"/>
        <v>0.0017857142857144854</v>
      </c>
      <c r="AJ9" s="9">
        <f aca="true" t="shared" si="32" ref="AJ9:AJ67">U9-V9</f>
        <v>7.642731112117239</v>
      </c>
      <c r="AK9" s="8">
        <v>50.907</v>
      </c>
      <c r="AL9" s="8">
        <f t="shared" si="13"/>
        <v>0.7866559376460477</v>
      </c>
      <c r="AM9" s="8">
        <v>51.157</v>
      </c>
      <c r="AN9" s="8">
        <v>32.609</v>
      </c>
      <c r="AO9" s="8">
        <f t="shared" si="14"/>
        <v>0.790519138864181</v>
      </c>
      <c r="AP9" s="9">
        <f aca="true" t="shared" si="33" ref="AP9:AP67">U9-V9</f>
        <v>7.642731112117239</v>
      </c>
      <c r="AQ9" s="8">
        <v>0.7669514884233737</v>
      </c>
    </row>
    <row r="10" spans="1:43" s="8" customFormat="1" ht="12.75">
      <c r="A10" s="8">
        <f t="shared" si="15"/>
        <v>0.0008537788989821521</v>
      </c>
      <c r="B10" s="7">
        <v>19051518</v>
      </c>
      <c r="C10" s="8">
        <v>5960</v>
      </c>
      <c r="D10" s="8">
        <v>23.8</v>
      </c>
      <c r="E10" s="8">
        <f t="shared" si="16"/>
        <v>27.311055050892392</v>
      </c>
      <c r="F10" s="8">
        <f t="shared" si="0"/>
        <v>3.511055050892392</v>
      </c>
      <c r="G10" s="8">
        <v>61.8</v>
      </c>
      <c r="H10" s="10">
        <f t="shared" si="1"/>
        <v>6.18E-05</v>
      </c>
      <c r="I10" s="10">
        <f t="shared" si="2"/>
        <v>3.09E-05</v>
      </c>
      <c r="J10" s="10">
        <f t="shared" si="3"/>
        <v>0.021458333333333333</v>
      </c>
      <c r="K10" s="8">
        <v>-55.9</v>
      </c>
      <c r="L10" s="8">
        <f t="shared" si="4"/>
        <v>-0.5589999999999999</v>
      </c>
      <c r="M10" s="11">
        <f t="shared" si="17"/>
        <v>7.645785922149977E-05</v>
      </c>
      <c r="N10" s="10">
        <f t="shared" si="18"/>
        <v>0.609777482116669</v>
      </c>
      <c r="O10" s="8">
        <f t="shared" si="19"/>
        <v>1025.4308873162297</v>
      </c>
      <c r="P10" s="8">
        <f t="shared" si="20"/>
        <v>4188.869730490118</v>
      </c>
      <c r="Q10" s="10">
        <f t="shared" si="21"/>
        <v>1.4196070040596752E-07</v>
      </c>
      <c r="R10" s="10">
        <f t="shared" si="22"/>
        <v>0.0035445317835817287</v>
      </c>
      <c r="S10" s="12">
        <f t="shared" si="23"/>
        <v>249.46662931658685</v>
      </c>
      <c r="T10" s="13">
        <f t="shared" si="24"/>
        <v>23.752058338816543</v>
      </c>
      <c r="U10" s="13">
        <f t="shared" si="25"/>
        <v>25.547544673036814</v>
      </c>
      <c r="V10" s="13">
        <f t="shared" si="26"/>
        <v>18.381659337250557</v>
      </c>
      <c r="W10" s="11">
        <f>0.00000004*D10^2+0.000002*D10-0.000008</f>
        <v>6.22576E-05</v>
      </c>
      <c r="X10" s="10">
        <f>0.574+0.00131*D10</f>
        <v>0.605178</v>
      </c>
      <c r="Y10" s="8">
        <f>10^(3+LOG10(0.3471)-(1-(D10+273.15)/(374.2+273.15))^(2/7)*LOG10(0.274))</f>
        <v>1028.636644406732</v>
      </c>
      <c r="Z10" s="8">
        <f>4.1868*(0.6741+(0.002825*(D10+273.15))+(-0.000008371*((D10+273.15)^2))+(0.000000008601*((D10+273.15)^3)))*1000</f>
        <v>4187.012065446875</v>
      </c>
      <c r="AA10" s="10">
        <f>X10/(Y10*Z10)</f>
        <v>1.4051313637236918E-07</v>
      </c>
      <c r="AB10" s="10">
        <f t="shared" si="8"/>
        <v>0.003532444019953069</v>
      </c>
      <c r="AC10" s="12">
        <f>1/((1/(X10/AB10*1.5))+(0.002/15))</f>
        <v>248.46641953121414</v>
      </c>
      <c r="AD10" s="13">
        <f t="shared" si="30"/>
        <v>23.91161796647176</v>
      </c>
      <c r="AE10" s="13">
        <f t="shared" si="9"/>
        <v>37.05586436102177</v>
      </c>
      <c r="AF10" s="13">
        <f t="shared" si="31"/>
        <v>18.5012950274269</v>
      </c>
      <c r="AG10" s="8">
        <f t="shared" si="10"/>
        <v>0.04284016636957813</v>
      </c>
      <c r="AH10" s="8">
        <f t="shared" si="11"/>
        <v>7.650029708854093E-05</v>
      </c>
      <c r="AI10" s="8">
        <f t="shared" si="12"/>
        <v>0.0017857142857144854</v>
      </c>
      <c r="AJ10" s="9">
        <f t="shared" si="32"/>
        <v>7.165885335786257</v>
      </c>
      <c r="AK10" s="8">
        <v>49.195</v>
      </c>
      <c r="AL10" s="8">
        <f t="shared" si="13"/>
        <v>0.7639090319759991</v>
      </c>
      <c r="AO10" s="8">
        <f t="shared" si="14"/>
        <v>0</v>
      </c>
      <c r="AP10" s="9">
        <f t="shared" si="33"/>
        <v>7.165885335786257</v>
      </c>
      <c r="AQ10" s="8">
        <v>0.7669514884233737</v>
      </c>
    </row>
    <row r="11" spans="1:43" s="8" customFormat="1" ht="12.75">
      <c r="A11" s="8">
        <f t="shared" si="15"/>
        <v>0.000906805294986067</v>
      </c>
      <c r="B11" s="7">
        <v>19051557</v>
      </c>
      <c r="C11" s="8">
        <v>5455</v>
      </c>
      <c r="D11" s="8">
        <v>21.3</v>
      </c>
      <c r="E11" s="8">
        <f t="shared" si="16"/>
        <v>24.659735250696645</v>
      </c>
      <c r="F11" s="8">
        <f t="shared" si="0"/>
        <v>3.3597352506966445</v>
      </c>
      <c r="G11" s="8">
        <v>59</v>
      </c>
      <c r="H11" s="10">
        <f t="shared" si="1"/>
        <v>5.9E-05</v>
      </c>
      <c r="I11" s="10">
        <f t="shared" si="2"/>
        <v>2.95E-05</v>
      </c>
      <c r="J11" s="10">
        <f t="shared" si="3"/>
        <v>0.02048611111111111</v>
      </c>
      <c r="K11" s="8">
        <v>31</v>
      </c>
      <c r="L11" s="8">
        <f t="shared" si="4"/>
        <v>0.31</v>
      </c>
      <c r="M11" s="11">
        <f t="shared" si="17"/>
        <v>6.564357220677131E-05</v>
      </c>
      <c r="N11" s="10">
        <f t="shared" si="18"/>
        <v>0.6063042531784125</v>
      </c>
      <c r="O11" s="8">
        <f t="shared" si="19"/>
        <v>1027.8528711829524</v>
      </c>
      <c r="P11" s="8">
        <f t="shared" si="20"/>
        <v>4187.473348672251</v>
      </c>
      <c r="Q11" s="10">
        <f t="shared" si="21"/>
        <v>1.4086646149524618E-07</v>
      </c>
      <c r="R11" s="10">
        <f t="shared" si="22"/>
        <v>0.003590461666038375</v>
      </c>
      <c r="S11" s="12">
        <f t="shared" si="23"/>
        <v>245.02272884950204</v>
      </c>
      <c r="T11" s="13">
        <f t="shared" si="24"/>
        <v>23.133994853730044</v>
      </c>
      <c r="U11" s="13">
        <f t="shared" si="25"/>
        <v>22.81412136170788</v>
      </c>
      <c r="V11" s="13">
        <f t="shared" si="26"/>
        <v>17.91824795937396</v>
      </c>
      <c r="W11" s="11">
        <f t="shared" si="5"/>
        <v>5.27476E-05</v>
      </c>
      <c r="X11" s="10">
        <f t="shared" si="27"/>
        <v>0.601903</v>
      </c>
      <c r="Y11" s="8">
        <f t="shared" si="6"/>
        <v>1030.911356776889</v>
      </c>
      <c r="Z11" s="8">
        <f t="shared" si="7"/>
        <v>4185.645290903369</v>
      </c>
      <c r="AA11" s="10">
        <f t="shared" si="28"/>
        <v>1.3948989981738769E-07</v>
      </c>
      <c r="AB11" s="10">
        <f t="shared" si="8"/>
        <v>0.0035787290782684313</v>
      </c>
      <c r="AC11" s="12">
        <f t="shared" si="29"/>
        <v>244.073460515134</v>
      </c>
      <c r="AD11" s="13">
        <f t="shared" si="30"/>
        <v>23.28290598625039</v>
      </c>
      <c r="AE11" s="13">
        <f t="shared" si="9"/>
        <v>31.52743938799839</v>
      </c>
      <c r="AF11" s="13">
        <f t="shared" si="31"/>
        <v>18.02989782593392</v>
      </c>
      <c r="AG11" s="8">
        <f t="shared" si="10"/>
        <v>0.02832647462277092</v>
      </c>
      <c r="AH11" s="8">
        <f t="shared" si="11"/>
        <v>0.012645747599451305</v>
      </c>
      <c r="AI11" s="8">
        <f t="shared" si="12"/>
        <v>0.4464285714285715</v>
      </c>
      <c r="AJ11" s="9">
        <f t="shared" si="32"/>
        <v>4.895873402333919</v>
      </c>
      <c r="AK11" s="8">
        <v>54.008</v>
      </c>
      <c r="AL11" s="8">
        <f t="shared" si="13"/>
        <v>0.8006492690697662</v>
      </c>
      <c r="AM11" s="8">
        <v>50.798</v>
      </c>
      <c r="AN11" s="8">
        <v>32.609</v>
      </c>
      <c r="AO11" s="8">
        <f t="shared" si="14"/>
        <v>0.7530621680159603</v>
      </c>
      <c r="AP11" s="9">
        <f t="shared" si="33"/>
        <v>4.895873402333919</v>
      </c>
      <c r="AQ11" s="8">
        <v>0.7629895767530007</v>
      </c>
    </row>
    <row r="12" spans="1:43" s="8" customFormat="1" ht="12.75">
      <c r="A12" s="8">
        <f t="shared" si="15"/>
        <v>0.0008838976783998593</v>
      </c>
      <c r="B12" s="7">
        <v>19051438</v>
      </c>
      <c r="C12" s="8">
        <v>4815</v>
      </c>
      <c r="D12" s="8">
        <v>22.9</v>
      </c>
      <c r="E12" s="8">
        <f t="shared" si="16"/>
        <v>25.805116080007032</v>
      </c>
      <c r="F12" s="8">
        <f t="shared" si="0"/>
        <v>2.905116080007033</v>
      </c>
      <c r="G12" s="8">
        <v>60.3</v>
      </c>
      <c r="H12" s="10">
        <f t="shared" si="1"/>
        <v>6.0299999999999995E-05</v>
      </c>
      <c r="I12" s="10">
        <f t="shared" si="2"/>
        <v>3.0149999999999998E-05</v>
      </c>
      <c r="J12" s="10">
        <f t="shared" si="3"/>
        <v>0.0209375</v>
      </c>
      <c r="K12" s="8">
        <v>-8</v>
      </c>
      <c r="L12" s="8">
        <f t="shared" si="4"/>
        <v>-0.08</v>
      </c>
      <c r="M12" s="11">
        <f t="shared" si="17"/>
        <v>7.024639279611956E-05</v>
      </c>
      <c r="N12" s="10">
        <f t="shared" si="18"/>
        <v>0.6078047020648092</v>
      </c>
      <c r="O12" s="8">
        <f t="shared" si="19"/>
        <v>1026.807479209819</v>
      </c>
      <c r="P12" s="8">
        <f t="shared" si="20"/>
        <v>4188.081313943518</v>
      </c>
      <c r="Q12" s="10">
        <f t="shared" si="21"/>
        <v>1.4133832070003272E-07</v>
      </c>
      <c r="R12" s="10">
        <f t="shared" si="22"/>
        <v>0.0035684496094243044</v>
      </c>
      <c r="S12" s="12">
        <f t="shared" si="23"/>
        <v>247.07437574600456</v>
      </c>
      <c r="T12" s="13">
        <f t="shared" si="24"/>
        <v>23.426948343690434</v>
      </c>
      <c r="U12" s="13">
        <f t="shared" si="25"/>
        <v>20.316525906070385</v>
      </c>
      <c r="V12" s="13">
        <f t="shared" si="26"/>
        <v>18.137897609654217</v>
      </c>
      <c r="W12" s="11">
        <f>0.00000004*D12^2+0.000002*D12-0.000008</f>
        <v>5.87764E-05</v>
      </c>
      <c r="X12" s="10">
        <f>0.574+0.00131*D12</f>
        <v>0.603999</v>
      </c>
      <c r="Y12" s="8">
        <f>10^(3+LOG10(0.3471)-(1-(D12+273.15)/(374.2+273.15))^(2/7)*LOG10(0.274))</f>
        <v>1029.4562931226442</v>
      </c>
      <c r="Z12" s="8">
        <f>4.1868*(0.6741+(0.002825*(D12+273.15))+(-0.000008371*((D12+273.15)^2))+(0.000000008601*((D12+273.15)^3)))*1000</f>
        <v>4186.524476263842</v>
      </c>
      <c r="AA12" s="10">
        <f>X12/(Y12*Z12)</f>
        <v>1.4014405264513067E-07</v>
      </c>
      <c r="AB12" s="10">
        <f t="shared" si="8"/>
        <v>0.0035583713834427913</v>
      </c>
      <c r="AC12" s="12">
        <f t="shared" si="29"/>
        <v>246.25070561468416</v>
      </c>
      <c r="AD12" s="13">
        <f t="shared" si="30"/>
        <v>23.557183340811754</v>
      </c>
      <c r="AE12" s="13">
        <f t="shared" si="9"/>
        <v>29.686562571191804</v>
      </c>
      <c r="AF12" s="13">
        <f t="shared" si="31"/>
        <v>18.235545274661053</v>
      </c>
      <c r="AG12" s="8">
        <f t="shared" si="10"/>
        <v>0.022548076923076924</v>
      </c>
      <c r="AH12" s="8">
        <f t="shared" si="11"/>
        <v>0.01932692307692308</v>
      </c>
      <c r="AI12" s="8">
        <f t="shared" si="12"/>
        <v>0.8571428571428572</v>
      </c>
      <c r="AJ12" s="9">
        <f t="shared" si="32"/>
        <v>2.178628296416168</v>
      </c>
      <c r="AK12" s="8">
        <v>59.512</v>
      </c>
      <c r="AL12" s="8">
        <f t="shared" si="13"/>
        <v>0.9016833757971386</v>
      </c>
      <c r="AM12" s="8">
        <v>60.88</v>
      </c>
      <c r="AN12" s="8">
        <v>41.478</v>
      </c>
      <c r="AO12" s="8">
        <f t="shared" si="14"/>
        <v>0.9224103360419714</v>
      </c>
      <c r="AP12" s="9">
        <f t="shared" si="33"/>
        <v>2.178628296416168</v>
      </c>
      <c r="AQ12" s="8">
        <v>0.8084159630005955</v>
      </c>
    </row>
    <row r="13" spans="1:43" s="8" customFormat="1" ht="12.75">
      <c r="A13" s="8">
        <f t="shared" si="15"/>
        <v>0.0008863200041393191</v>
      </c>
      <c r="B13" s="7">
        <v>19051433</v>
      </c>
      <c r="C13" s="8">
        <v>4820</v>
      </c>
      <c r="D13" s="8">
        <v>22.8</v>
      </c>
      <c r="E13" s="8">
        <f t="shared" si="16"/>
        <v>25.68399979303404</v>
      </c>
      <c r="F13" s="8">
        <f t="shared" si="0"/>
        <v>2.883999793034038</v>
      </c>
      <c r="G13" s="8">
        <v>60.8</v>
      </c>
      <c r="H13" s="10">
        <f t="shared" si="1"/>
        <v>6.0799999999999994E-05</v>
      </c>
      <c r="I13" s="10">
        <f t="shared" si="2"/>
        <v>3.0399999999999997E-05</v>
      </c>
      <c r="J13" s="10">
        <f t="shared" si="3"/>
        <v>0.021111111111111112</v>
      </c>
      <c r="K13" s="8">
        <v>-5</v>
      </c>
      <c r="L13" s="8">
        <f t="shared" si="4"/>
        <v>-0.05</v>
      </c>
      <c r="M13" s="11">
        <f t="shared" si="17"/>
        <v>6.975471340081098E-05</v>
      </c>
      <c r="N13" s="10">
        <f t="shared" si="18"/>
        <v>0.6076460397288745</v>
      </c>
      <c r="O13" s="8">
        <f t="shared" si="19"/>
        <v>1026.9180879785804</v>
      </c>
      <c r="P13" s="8">
        <f t="shared" si="20"/>
        <v>4188.01737265361</v>
      </c>
      <c r="Q13" s="10">
        <f t="shared" si="21"/>
        <v>1.4128836312806276E-07</v>
      </c>
      <c r="R13" s="10">
        <f t="shared" si="22"/>
        <v>0.003558222429299832</v>
      </c>
      <c r="S13" s="12">
        <f t="shared" si="23"/>
        <v>247.6985268156769</v>
      </c>
      <c r="T13" s="13">
        <f t="shared" si="24"/>
        <v>23.56385923550844</v>
      </c>
      <c r="U13" s="13">
        <f t="shared" si="25"/>
        <v>19.8269037446828</v>
      </c>
      <c r="V13" s="13">
        <f t="shared" si="26"/>
        <v>18.24055073900517</v>
      </c>
      <c r="W13" s="11">
        <f t="shared" si="5"/>
        <v>5.83936E-05</v>
      </c>
      <c r="X13" s="10">
        <f t="shared" si="27"/>
        <v>0.603868</v>
      </c>
      <c r="Y13" s="8">
        <f t="shared" si="6"/>
        <v>1029.547312841062</v>
      </c>
      <c r="Z13" s="8">
        <f t="shared" si="7"/>
        <v>4186.469996085894</v>
      </c>
      <c r="AA13" s="10">
        <f t="shared" si="28"/>
        <v>1.4010309320593482E-07</v>
      </c>
      <c r="AB13" s="10">
        <f t="shared" si="8"/>
        <v>0.0035482454802900493</v>
      </c>
      <c r="AC13" s="12">
        <f t="shared" si="29"/>
        <v>246.87851989267742</v>
      </c>
      <c r="AD13" s="13">
        <f t="shared" si="30"/>
        <v>23.693900082645552</v>
      </c>
      <c r="AE13" s="13">
        <f t="shared" si="9"/>
        <v>29.040252884875343</v>
      </c>
      <c r="AF13" s="13">
        <f t="shared" si="31"/>
        <v>18.33805316261862</v>
      </c>
      <c r="AG13" s="8">
        <f t="shared" si="10"/>
        <v>0.022097611630321912</v>
      </c>
      <c r="AH13" s="8">
        <f t="shared" si="11"/>
        <v>0.02012461059190031</v>
      </c>
      <c r="AI13" s="8">
        <f t="shared" si="12"/>
        <v>0.9107142857142856</v>
      </c>
      <c r="AJ13" s="9">
        <f t="shared" si="32"/>
        <v>1.5863530056776298</v>
      </c>
      <c r="AK13" s="8">
        <v>62.067</v>
      </c>
      <c r="AL13" s="8">
        <f t="shared" si="13"/>
        <v>0.9481925494866652</v>
      </c>
      <c r="AM13" s="8">
        <v>58.33</v>
      </c>
      <c r="AN13" s="8">
        <v>41.043</v>
      </c>
      <c r="AO13" s="8">
        <f t="shared" si="14"/>
        <v>0.891102702105099</v>
      </c>
      <c r="AP13" s="9">
        <f t="shared" si="33"/>
        <v>1.5863530056776298</v>
      </c>
      <c r="AQ13" s="8">
        <v>0.8084159630005955</v>
      </c>
    </row>
    <row r="14" spans="1:43" s="8" customFormat="1" ht="12.75">
      <c r="A14" s="8">
        <f t="shared" si="15"/>
        <v>0.0008847652315895225</v>
      </c>
      <c r="B14" s="7">
        <v>19051443</v>
      </c>
      <c r="C14" s="8">
        <v>4820</v>
      </c>
      <c r="D14" s="8">
        <v>23.03</v>
      </c>
      <c r="E14" s="8">
        <f t="shared" si="16"/>
        <v>25.76173842052387</v>
      </c>
      <c r="F14" s="8">
        <f t="shared" si="0"/>
        <v>2.7317384205238677</v>
      </c>
      <c r="G14" s="8">
        <v>64.2</v>
      </c>
      <c r="H14" s="10">
        <f t="shared" si="1"/>
        <v>6.42E-05</v>
      </c>
      <c r="I14" s="10">
        <f t="shared" si="2"/>
        <v>3.21E-05</v>
      </c>
      <c r="J14" s="10">
        <f t="shared" si="3"/>
        <v>0.022291666666666668</v>
      </c>
      <c r="K14" s="8">
        <v>-4</v>
      </c>
      <c r="L14" s="8">
        <f t="shared" si="4"/>
        <v>-0.04</v>
      </c>
      <c r="M14" s="11">
        <f t="shared" si="17"/>
        <v>7.007016349894756E-05</v>
      </c>
      <c r="N14" s="10">
        <f t="shared" si="18"/>
        <v>0.6077478773308862</v>
      </c>
      <c r="O14" s="8">
        <f t="shared" si="19"/>
        <v>1026.8470954006684</v>
      </c>
      <c r="P14" s="8">
        <f t="shared" si="20"/>
        <v>4188.058422740381</v>
      </c>
      <c r="Q14" s="10">
        <f t="shared" si="21"/>
        <v>1.4132042677808008E-07</v>
      </c>
      <c r="R14" s="10">
        <f t="shared" si="22"/>
        <v>0.00349453646493086</v>
      </c>
      <c r="S14" s="12">
        <f t="shared" si="23"/>
        <v>252.1018044958453</v>
      </c>
      <c r="T14" s="13">
        <f t="shared" si="24"/>
        <v>24.445536336401414</v>
      </c>
      <c r="U14" s="13">
        <f t="shared" si="25"/>
        <v>17.522132776152873</v>
      </c>
      <c r="V14" s="13">
        <f t="shared" si="26"/>
        <v>18.901623152208582</v>
      </c>
      <c r="W14" s="11">
        <f>0.00000004*D14^2+0.000002*D14-0.000008</f>
        <v>5.9275236E-05</v>
      </c>
      <c r="X14" s="10">
        <f>0.574+0.00131*D14</f>
        <v>0.6041692999999999</v>
      </c>
      <c r="Y14" s="8">
        <f>10^(3+LOG10(0.3471)-(1-(D14+273.15)/(374.2+273.15))^(2/7)*LOG10(0.274))</f>
        <v>1029.3379518513025</v>
      </c>
      <c r="Z14" s="8">
        <f>4.1868*(0.6741+(0.002825*(D14+273.15))+(-0.000008371*((D14+273.15)^2))+(0.000000008601*((D14+273.15)^3)))*1000</f>
        <v>4186.595208889086</v>
      </c>
      <c r="AA14" s="10">
        <f>X14/(Y14*Z14)</f>
        <v>1.4019731483107016E-07</v>
      </c>
      <c r="AB14" s="10">
        <f t="shared" si="8"/>
        <v>0.0034852554149338733</v>
      </c>
      <c r="AC14" s="12">
        <f t="shared" si="29"/>
        <v>251.31212260867233</v>
      </c>
      <c r="AD14" s="13">
        <f t="shared" si="30"/>
        <v>24.573246290342762</v>
      </c>
      <c r="AE14" s="13">
        <f t="shared" si="9"/>
        <v>26.439031209685524</v>
      </c>
      <c r="AF14" s="13">
        <f t="shared" si="31"/>
        <v>18.997379860672666</v>
      </c>
      <c r="AG14" s="8">
        <f t="shared" si="10"/>
        <v>0.02311728395061729</v>
      </c>
      <c r="AH14" s="8">
        <f t="shared" si="11"/>
        <v>0.02146604938271605</v>
      </c>
      <c r="AI14" s="8">
        <f t="shared" si="12"/>
        <v>0.9285714285714285</v>
      </c>
      <c r="AJ14" s="9">
        <f t="shared" si="32"/>
        <v>-1.3794903760557098</v>
      </c>
      <c r="AK14" s="8">
        <v>74.326</v>
      </c>
      <c r="AL14" s="8">
        <f t="shared" si="13"/>
        <v>1.198969109466162</v>
      </c>
      <c r="AM14" s="8">
        <v>60.927</v>
      </c>
      <c r="AN14" s="8">
        <v>42</v>
      </c>
      <c r="AO14" s="8">
        <f t="shared" si="14"/>
        <v>0.9828268833577061</v>
      </c>
      <c r="AP14" s="9">
        <f t="shared" si="33"/>
        <v>-1.3794903760557098</v>
      </c>
      <c r="AQ14" s="8">
        <v>0.8084159630005955</v>
      </c>
    </row>
    <row r="15" spans="1:42" s="8" customFormat="1" ht="12.75">
      <c r="A15" s="8">
        <f t="shared" si="15"/>
        <v>0.0009673680502676842</v>
      </c>
      <c r="B15" s="7">
        <v>18052326</v>
      </c>
      <c r="C15" s="8">
        <v>4999</v>
      </c>
      <c r="D15" s="8">
        <v>18.6</v>
      </c>
      <c r="E15" s="8">
        <f t="shared" si="16"/>
        <v>21.63159748661578</v>
      </c>
      <c r="F15" s="8">
        <f t="shared" si="0"/>
        <v>3.0315974866157807</v>
      </c>
      <c r="G15" s="8">
        <v>59.8</v>
      </c>
      <c r="H15" s="10">
        <f t="shared" si="1"/>
        <v>5.98E-05</v>
      </c>
      <c r="I15" s="10">
        <f t="shared" si="2"/>
        <v>2.99E-05</v>
      </c>
      <c r="J15" s="10">
        <f t="shared" si="3"/>
        <v>0.02076388888888889</v>
      </c>
      <c r="K15" s="8">
        <v>-5</v>
      </c>
      <c r="L15" s="8">
        <f t="shared" si="4"/>
        <v>-0.05</v>
      </c>
      <c r="M15" s="11">
        <f t="shared" si="17"/>
        <v>5.398023536615005E-05</v>
      </c>
      <c r="N15" s="10">
        <f t="shared" si="18"/>
        <v>0.6023373927074667</v>
      </c>
      <c r="O15" s="8">
        <f t="shared" si="19"/>
        <v>1030.610016111085</v>
      </c>
      <c r="P15" s="8">
        <f t="shared" si="20"/>
        <v>4185.828833197532</v>
      </c>
      <c r="Q15" s="10">
        <f t="shared" si="21"/>
        <v>1.3962526186100118E-07</v>
      </c>
      <c r="R15" s="10">
        <f t="shared" si="22"/>
        <v>0.0035638522572512808</v>
      </c>
      <c r="S15" s="12">
        <f t="shared" si="23"/>
        <v>245.2300977799876</v>
      </c>
      <c r="T15" s="13">
        <f t="shared" si="24"/>
        <v>23.481466832464086</v>
      </c>
      <c r="U15" s="13">
        <f t="shared" si="25"/>
        <v>16.997360008312572</v>
      </c>
      <c r="V15" s="13">
        <f t="shared" si="26"/>
        <v>18.17877447253461</v>
      </c>
      <c r="W15" s="11">
        <f>0.00000004*D15^2+0.000002*D15-0.000008</f>
        <v>4.3038400000000005E-05</v>
      </c>
      <c r="X15" s="10">
        <f>0.574+0.00131*D15</f>
        <v>0.598366</v>
      </c>
      <c r="Y15" s="8">
        <f>10^(3+LOG10(0.3471)-(1-(D15+273.15)/(374.2+273.15))^(2/7)*LOG10(0.274))</f>
        <v>1033.3607597655487</v>
      </c>
      <c r="Z15" s="8">
        <f>4.1868*(0.6741+(0.002825*(D15+273.15))+(-0.000008371*((D15+273.15)^2))+(0.000000008601*((D15+273.15)^3)))*1000</f>
        <v>4184.123616247268</v>
      </c>
      <c r="AA15" s="10">
        <f>X15/(Y15*Z15)</f>
        <v>1.3839182470198762E-07</v>
      </c>
      <c r="AB15" s="10">
        <f t="shared" si="8"/>
        <v>0.003553328002498584</v>
      </c>
      <c r="AC15" s="12">
        <f t="shared" si="29"/>
        <v>244.3639276212151</v>
      </c>
      <c r="AD15" s="13">
        <f t="shared" si="30"/>
        <v>23.61796887362581</v>
      </c>
      <c r="AE15" s="13">
        <f t="shared" si="9"/>
        <v>22.947329409332244</v>
      </c>
      <c r="AF15" s="13">
        <f t="shared" si="31"/>
        <v>18.281121191142855</v>
      </c>
      <c r="AG15" s="8">
        <f t="shared" si="10"/>
        <v>0.021734164070612672</v>
      </c>
      <c r="AH15" s="8">
        <f t="shared" si="11"/>
        <v>0.019793613707165113</v>
      </c>
      <c r="AI15" s="8">
        <f t="shared" si="12"/>
        <v>0.9107142857142857</v>
      </c>
      <c r="AJ15" s="9">
        <f t="shared" si="32"/>
        <v>-1.181414464222037</v>
      </c>
      <c r="AK15" s="8">
        <v>57.274</v>
      </c>
      <c r="AL15" s="8">
        <f t="shared" si="13"/>
        <v>0.8605793168603921</v>
      </c>
      <c r="AM15" s="8">
        <v>61.482</v>
      </c>
      <c r="AN15" s="8">
        <v>-5.565</v>
      </c>
      <c r="AO15" s="8">
        <f t="shared" si="14"/>
        <v>0.9238072696024483</v>
      </c>
      <c r="AP15" s="9">
        <f t="shared" si="33"/>
        <v>-1.181414464222037</v>
      </c>
    </row>
    <row r="16" spans="1:42" s="8" customFormat="1" ht="12.75">
      <c r="A16" s="8">
        <f t="shared" si="15"/>
        <v>0.0009675984977661668</v>
      </c>
      <c r="B16" s="7">
        <v>18052330</v>
      </c>
      <c r="C16" s="8">
        <v>4980</v>
      </c>
      <c r="D16" s="8">
        <v>18.6</v>
      </c>
      <c r="E16" s="8">
        <f t="shared" si="16"/>
        <v>21.62007511169166</v>
      </c>
      <c r="F16" s="8">
        <f t="shared" si="0"/>
        <v>3.0200751116916558</v>
      </c>
      <c r="G16" s="8">
        <v>59.8</v>
      </c>
      <c r="H16" s="10">
        <f t="shared" si="1"/>
        <v>5.98E-05</v>
      </c>
      <c r="I16" s="10">
        <f t="shared" si="2"/>
        <v>2.99E-05</v>
      </c>
      <c r="J16" s="10">
        <f t="shared" si="3"/>
        <v>0.02076388888888889</v>
      </c>
      <c r="K16" s="8">
        <v>-7</v>
      </c>
      <c r="L16" s="8">
        <f t="shared" si="4"/>
        <v>-0.07</v>
      </c>
      <c r="M16" s="11">
        <f t="shared" si="17"/>
        <v>5.3937256136790884E-05</v>
      </c>
      <c r="N16" s="10">
        <f t="shared" si="18"/>
        <v>0.602322298396316</v>
      </c>
      <c r="O16" s="8">
        <f t="shared" si="19"/>
        <v>1030.6204890361237</v>
      </c>
      <c r="P16" s="8">
        <f t="shared" si="20"/>
        <v>4185.822467309902</v>
      </c>
      <c r="Q16" s="10">
        <f t="shared" si="21"/>
        <v>1.3962055644690613E-07</v>
      </c>
      <c r="R16" s="10">
        <f t="shared" si="22"/>
        <v>0.0035638122265007517</v>
      </c>
      <c r="S16" s="12">
        <f t="shared" si="23"/>
        <v>245.22681778583703</v>
      </c>
      <c r="T16" s="13">
        <f t="shared" si="24"/>
        <v>23.481983812172814</v>
      </c>
      <c r="U16" s="13">
        <f t="shared" si="25"/>
        <v>16.92049023056759</v>
      </c>
      <c r="V16" s="13">
        <f t="shared" si="26"/>
        <v>18.179162093757654</v>
      </c>
      <c r="W16" s="11">
        <f>0.00000004*D16^2+0.000002*D16-0.000008</f>
        <v>4.3038400000000005E-05</v>
      </c>
      <c r="X16" s="10">
        <f>0.574+0.00131*D16</f>
        <v>0.598366</v>
      </c>
      <c r="Y16" s="8">
        <f>10^(3+LOG10(0.3471)-(1-(D16+273.15)/(374.2+273.15))^(2/7)*LOG10(0.274))</f>
        <v>1033.3607597655487</v>
      </c>
      <c r="Z16" s="8">
        <f>4.1868*(0.6741+(0.002825*(D16+273.15))+(-0.000008371*((D16+273.15)^2))+(0.000000008601*((D16+273.15)^3)))*1000</f>
        <v>4184.123616247268</v>
      </c>
      <c r="AA16" s="10">
        <f>X16/(Y16*Z16)</f>
        <v>1.3839182470198762E-07</v>
      </c>
      <c r="AB16" s="10">
        <f t="shared" si="8"/>
        <v>0.003553328002498584</v>
      </c>
      <c r="AC16" s="12">
        <f t="shared" si="29"/>
        <v>244.3639276212151</v>
      </c>
      <c r="AD16" s="13">
        <f t="shared" si="30"/>
        <v>23.61796887362581</v>
      </c>
      <c r="AE16" s="13">
        <f t="shared" si="9"/>
        <v>22.86011211411774</v>
      </c>
      <c r="AF16" s="13">
        <f t="shared" si="31"/>
        <v>18.281121191142855</v>
      </c>
      <c r="AG16" s="8">
        <f t="shared" si="10"/>
        <v>0.02214814814814815</v>
      </c>
      <c r="AH16" s="8">
        <f t="shared" si="11"/>
        <v>0.019379629629629632</v>
      </c>
      <c r="AI16" s="8">
        <f t="shared" si="12"/>
        <v>0.8750000000000001</v>
      </c>
      <c r="AJ16" s="9">
        <f t="shared" si="32"/>
        <v>-1.258671863190063</v>
      </c>
      <c r="AK16" s="8">
        <v>46.092</v>
      </c>
      <c r="AL16" s="8">
        <f t="shared" si="13"/>
        <v>0.6925624519455458</v>
      </c>
      <c r="AM16" s="8">
        <v>63.514</v>
      </c>
      <c r="AN16" s="8">
        <v>-5.565</v>
      </c>
      <c r="AO16" s="8">
        <f t="shared" si="14"/>
        <v>0.9543393988733272</v>
      </c>
      <c r="AP16" s="9">
        <f t="shared" si="33"/>
        <v>-1.258671863190063</v>
      </c>
    </row>
    <row r="17" spans="1:42" s="8" customFormat="1" ht="12.75">
      <c r="A17" s="8">
        <f t="shared" si="15"/>
        <v>0.0009709138349309528</v>
      </c>
      <c r="B17" s="7">
        <v>18052323</v>
      </c>
      <c r="C17" s="8">
        <v>4990</v>
      </c>
      <c r="D17" s="8">
        <v>18.6</v>
      </c>
      <c r="E17" s="8">
        <f t="shared" si="16"/>
        <v>21.454308253452353</v>
      </c>
      <c r="F17" s="8">
        <f t="shared" si="0"/>
        <v>2.854308253452351</v>
      </c>
      <c r="G17" s="8">
        <v>63.4</v>
      </c>
      <c r="H17" s="10">
        <f t="shared" si="1"/>
        <v>6.34E-05</v>
      </c>
      <c r="I17" s="10">
        <f t="shared" si="2"/>
        <v>3.17E-05</v>
      </c>
      <c r="J17" s="10">
        <f t="shared" si="3"/>
        <v>0.02201388888888889</v>
      </c>
      <c r="K17" s="8">
        <v>-1</v>
      </c>
      <c r="L17" s="8">
        <f t="shared" si="4"/>
        <v>-0.01</v>
      </c>
      <c r="M17" s="11">
        <f t="shared" si="17"/>
        <v>5.332011021227086E-05</v>
      </c>
      <c r="N17" s="10">
        <f t="shared" si="18"/>
        <v>0.6021051438120225</v>
      </c>
      <c r="O17" s="8">
        <f t="shared" si="19"/>
        <v>1030.7711426891813</v>
      </c>
      <c r="P17" s="8">
        <f t="shared" si="20"/>
        <v>4185.730790052553</v>
      </c>
      <c r="Q17" s="10">
        <f t="shared" si="21"/>
        <v>1.3955287660917043E-07</v>
      </c>
      <c r="R17" s="10">
        <f t="shared" si="22"/>
        <v>0.0034944818163443947</v>
      </c>
      <c r="S17" s="12">
        <f t="shared" si="23"/>
        <v>249.84287390754224</v>
      </c>
      <c r="T17" s="13">
        <f t="shared" si="24"/>
        <v>24.43868431088602</v>
      </c>
      <c r="U17" s="13">
        <f t="shared" si="25"/>
        <v>14.649401412490247</v>
      </c>
      <c r="V17" s="13">
        <f t="shared" si="26"/>
        <v>18.896485522588605</v>
      </c>
      <c r="W17" s="11">
        <f>0.00000004*D17^2+0.000002*D17-0.000008</f>
        <v>4.3038400000000005E-05</v>
      </c>
      <c r="X17" s="10">
        <f t="shared" si="27"/>
        <v>0.598366</v>
      </c>
      <c r="Y17" s="8">
        <f>10^(3+LOG10(0.3471)-(1-(D17+273.15)/(374.2+273.15))^(2/7)*LOG10(0.274))</f>
        <v>1033.3607597655487</v>
      </c>
      <c r="Z17" s="8">
        <f>4.1868*(0.6741+(0.002825*(D17+273.15))+(-0.000008371*((D17+273.15)^2))+(0.000000008601*((D17+273.15)^3)))*1000</f>
        <v>4184.123616247268</v>
      </c>
      <c r="AA17" s="10">
        <f t="shared" si="28"/>
        <v>1.3839182470198762E-07</v>
      </c>
      <c r="AB17" s="10">
        <f t="shared" si="8"/>
        <v>0.003484764656831838</v>
      </c>
      <c r="AC17" s="12">
        <f t="shared" si="29"/>
        <v>249.01219986322943</v>
      </c>
      <c r="AD17" s="13">
        <f t="shared" si="30"/>
        <v>24.572372575806163</v>
      </c>
      <c r="AE17" s="13">
        <f t="shared" si="9"/>
        <v>20.378556183036157</v>
      </c>
      <c r="AF17" s="13">
        <f t="shared" si="31"/>
        <v>18.996724750083487</v>
      </c>
      <c r="AG17" s="8">
        <f t="shared" si="10"/>
        <v>0.02221221221221221</v>
      </c>
      <c r="AH17" s="8">
        <f t="shared" si="11"/>
        <v>0.021815565565565565</v>
      </c>
      <c r="AI17" s="8">
        <f t="shared" si="12"/>
        <v>0.9821428571428572</v>
      </c>
      <c r="AJ17" s="9">
        <f t="shared" si="32"/>
        <v>-4.247084110098358</v>
      </c>
      <c r="AK17" s="8">
        <v>54.693</v>
      </c>
      <c r="AL17" s="8">
        <f t="shared" si="13"/>
        <v>0.8712708989763458</v>
      </c>
      <c r="AM17" s="8">
        <v>62.419</v>
      </c>
      <c r="AN17" s="8">
        <v>34.435</v>
      </c>
      <c r="AO17" s="8">
        <f t="shared" si="14"/>
        <v>0.994347690622283</v>
      </c>
      <c r="AP17" s="9">
        <f t="shared" si="33"/>
        <v>-4.247084110098358</v>
      </c>
    </row>
    <row r="18" spans="1:43" s="8" customFormat="1" ht="12.75">
      <c r="A18" s="8">
        <f t="shared" si="15"/>
        <v>0.0009757841988713632</v>
      </c>
      <c r="B18" s="7" t="s">
        <v>69</v>
      </c>
      <c r="C18" s="17">
        <v>755</v>
      </c>
      <c r="D18" s="8">
        <v>20.3</v>
      </c>
      <c r="E18" s="8">
        <f t="shared" si="16"/>
        <v>21.210790056431836</v>
      </c>
      <c r="F18" s="8">
        <f t="shared" si="0"/>
        <v>0.9107900564318363</v>
      </c>
      <c r="G18" s="8">
        <v>30.1</v>
      </c>
      <c r="H18" s="10">
        <f t="shared" si="1"/>
        <v>3.01E-05</v>
      </c>
      <c r="I18" s="10">
        <f t="shared" si="2"/>
        <v>1.505E-05</v>
      </c>
      <c r="J18" s="10">
        <f t="shared" si="3"/>
        <v>0.01045138888888889</v>
      </c>
      <c r="K18" s="8">
        <v>55.9</v>
      </c>
      <c r="L18" s="8">
        <f t="shared" si="4"/>
        <v>0.5589999999999999</v>
      </c>
      <c r="M18" s="11">
        <f t="shared" si="17"/>
        <v>5.241748470558478E-05</v>
      </c>
      <c r="N18" s="10">
        <f t="shared" si="18"/>
        <v>0.6017861349739256</v>
      </c>
      <c r="O18" s="8">
        <f t="shared" si="19"/>
        <v>1030.9924072079807</v>
      </c>
      <c r="P18" s="8">
        <f t="shared" si="20"/>
        <v>4185.595791154039</v>
      </c>
      <c r="Q18" s="10">
        <f t="shared" si="21"/>
        <v>1.394535020234692E-07</v>
      </c>
      <c r="R18" s="10">
        <f t="shared" si="22"/>
        <v>0.004478265206061548</v>
      </c>
      <c r="S18" s="12">
        <f t="shared" si="23"/>
        <v>196.29339342411515</v>
      </c>
      <c r="T18" s="13">
        <f t="shared" si="24"/>
        <v>14.770512045846628</v>
      </c>
      <c r="U18" s="13">
        <f t="shared" si="25"/>
        <v>11.681603762426587</v>
      </c>
      <c r="V18" s="13">
        <f t="shared" si="26"/>
        <v>11.64859456478012</v>
      </c>
      <c r="W18" s="11">
        <f t="shared" si="5"/>
        <v>4.90836E-05</v>
      </c>
      <c r="X18" s="10">
        <f t="shared" si="27"/>
        <v>0.6005929999999999</v>
      </c>
      <c r="Y18" s="8">
        <f t="shared" si="6"/>
        <v>1031.8194205953137</v>
      </c>
      <c r="Z18" s="8">
        <f t="shared" si="7"/>
        <v>4185.087438260979</v>
      </c>
      <c r="AA18" s="10">
        <f t="shared" si="28"/>
        <v>1.3908235390013224E-07</v>
      </c>
      <c r="AB18" s="10">
        <f t="shared" si="8"/>
        <v>0.004474289185061952</v>
      </c>
      <c r="AC18" s="12">
        <f t="shared" si="29"/>
        <v>196.08392248705286</v>
      </c>
      <c r="AD18" s="13">
        <f t="shared" si="30"/>
        <v>14.7963545531449</v>
      </c>
      <c r="AE18" s="13">
        <f t="shared" si="9"/>
        <v>15.600755564629967</v>
      </c>
      <c r="AF18" s="13">
        <f t="shared" si="31"/>
        <v>11.667962178419533</v>
      </c>
      <c r="AG18" s="8">
        <f t="shared" si="10"/>
        <v>0.02086551792434145</v>
      </c>
      <c r="AH18" s="8">
        <f t="shared" si="11"/>
        <v>3.725985343632818E-05</v>
      </c>
      <c r="AI18" s="8">
        <f t="shared" si="12"/>
        <v>0.0017857142857144852</v>
      </c>
      <c r="AJ18" s="9">
        <f t="shared" si="32"/>
        <v>0.03300919764646615</v>
      </c>
      <c r="AK18" s="8">
        <v>91.343</v>
      </c>
      <c r="AL18" s="8">
        <f t="shared" si="13"/>
        <v>0.6908344263366049</v>
      </c>
      <c r="AM18" s="8">
        <v>100.37</v>
      </c>
      <c r="AN18" s="8">
        <v>69.13</v>
      </c>
      <c r="AO18" s="8">
        <f t="shared" si="14"/>
        <v>0.7591063504746399</v>
      </c>
      <c r="AP18" s="9">
        <f t="shared" si="33"/>
        <v>0.03300919764646615</v>
      </c>
      <c r="AQ18" s="8">
        <v>0.9199201198202694</v>
      </c>
    </row>
    <row r="19" spans="1:42" s="8" customFormat="1" ht="12.75">
      <c r="A19" s="8">
        <f t="shared" si="15"/>
        <v>0.0009832803594955015</v>
      </c>
      <c r="B19" s="7">
        <v>18052309</v>
      </c>
      <c r="C19" s="8">
        <v>3915</v>
      </c>
      <c r="D19" s="8">
        <v>18.52</v>
      </c>
      <c r="E19" s="8">
        <f t="shared" si="16"/>
        <v>20.835982025224922</v>
      </c>
      <c r="F19" s="8">
        <f t="shared" si="0"/>
        <v>2.3159820252249212</v>
      </c>
      <c r="G19" s="8">
        <v>61.3</v>
      </c>
      <c r="H19" s="10">
        <f t="shared" si="1"/>
        <v>6.13E-05</v>
      </c>
      <c r="I19" s="10">
        <f t="shared" si="2"/>
        <v>3.065E-05</v>
      </c>
      <c r="J19" s="10">
        <f t="shared" si="3"/>
        <v>0.021284722222222222</v>
      </c>
      <c r="K19" s="8">
        <v>3</v>
      </c>
      <c r="L19" s="8">
        <f t="shared" si="4"/>
        <v>0.03</v>
      </c>
      <c r="M19" s="11">
        <f t="shared" si="17"/>
        <v>5.103748992866969E-05</v>
      </c>
      <c r="N19" s="10">
        <f t="shared" si="18"/>
        <v>0.6012951364530446</v>
      </c>
      <c r="O19" s="8">
        <f t="shared" si="19"/>
        <v>1031.3328435298936</v>
      </c>
      <c r="P19" s="8">
        <f t="shared" si="20"/>
        <v>4185.387255590059</v>
      </c>
      <c r="Q19" s="10">
        <f t="shared" si="21"/>
        <v>1.3930066675109852E-07</v>
      </c>
      <c r="R19" s="10">
        <f t="shared" si="22"/>
        <v>0.0035318050130650077</v>
      </c>
      <c r="S19" s="12">
        <f t="shared" si="23"/>
        <v>246.96793230157624</v>
      </c>
      <c r="T19" s="13">
        <f t="shared" si="24"/>
        <v>23.915330706604063</v>
      </c>
      <c r="U19" s="13">
        <f t="shared" si="25"/>
        <v>11.942884701213513</v>
      </c>
      <c r="V19" s="13">
        <f t="shared" si="26"/>
        <v>18.504078796060135</v>
      </c>
      <c r="W19" s="11">
        <f t="shared" si="5"/>
        <v>4.2759616E-05</v>
      </c>
      <c r="X19" s="10">
        <f t="shared" si="27"/>
        <v>0.5982611999999999</v>
      </c>
      <c r="Y19" s="8">
        <f t="shared" si="6"/>
        <v>1033.4332201792479</v>
      </c>
      <c r="Z19" s="8">
        <f t="shared" si="7"/>
        <v>4184.0777656426235</v>
      </c>
      <c r="AA19" s="10">
        <f t="shared" si="28"/>
        <v>1.383594006187541E-07</v>
      </c>
      <c r="AB19" s="10">
        <f t="shared" si="8"/>
        <v>0.00352383292500663</v>
      </c>
      <c r="AC19" s="12">
        <f t="shared" si="29"/>
        <v>246.3003853065961</v>
      </c>
      <c r="AD19" s="13">
        <f t="shared" si="30"/>
        <v>24.02146747976896</v>
      </c>
      <c r="AE19" s="13">
        <f t="shared" si="9"/>
        <v>16.991819162403758</v>
      </c>
      <c r="AF19" s="13">
        <f t="shared" si="31"/>
        <v>18.58365899583241</v>
      </c>
      <c r="AG19" s="8">
        <f t="shared" si="10"/>
        <v>0.02187054026503568</v>
      </c>
      <c r="AH19" s="8">
        <f t="shared" si="11"/>
        <v>0.02069890417940877</v>
      </c>
      <c r="AI19" s="8">
        <f t="shared" si="12"/>
        <v>0.9464285714285714</v>
      </c>
      <c r="AJ19" s="9">
        <f t="shared" si="32"/>
        <v>-6.561194094846622</v>
      </c>
      <c r="AK19" s="8">
        <v>66.529</v>
      </c>
      <c r="AL19" s="8">
        <f t="shared" si="13"/>
        <v>1.024716371932681</v>
      </c>
      <c r="AM19" s="8">
        <v>65</v>
      </c>
      <c r="AN19" s="8">
        <v>34.435</v>
      </c>
      <c r="AO19" s="8">
        <f t="shared" si="14"/>
        <v>1.0011658701562367</v>
      </c>
      <c r="AP19" s="9">
        <f t="shared" si="33"/>
        <v>-6.561194094846622</v>
      </c>
    </row>
    <row r="20" spans="1:43" s="8" customFormat="1" ht="12.75">
      <c r="A20" s="8">
        <f t="shared" si="15"/>
        <v>0.0009789147581896365</v>
      </c>
      <c r="B20" s="7" t="s">
        <v>71</v>
      </c>
      <c r="C20" s="18">
        <v>755</v>
      </c>
      <c r="D20" s="8">
        <v>20.17</v>
      </c>
      <c r="E20" s="8">
        <f t="shared" si="16"/>
        <v>21.05426209051817</v>
      </c>
      <c r="F20" s="8">
        <f t="shared" si="0"/>
        <v>0.8842620905181666</v>
      </c>
      <c r="G20" s="8">
        <v>31</v>
      </c>
      <c r="H20" s="10">
        <f t="shared" si="1"/>
        <v>3.1E-05</v>
      </c>
      <c r="I20" s="10">
        <f t="shared" si="2"/>
        <v>1.55E-05</v>
      </c>
      <c r="J20" s="10">
        <f t="shared" si="3"/>
        <v>0.01076388888888889</v>
      </c>
      <c r="K20" s="8">
        <v>55.9</v>
      </c>
      <c r="L20" s="8">
        <f t="shared" si="4"/>
        <v>0.5589999999999999</v>
      </c>
      <c r="M20" s="11">
        <f t="shared" si="17"/>
        <v>5.183980226808556E-05</v>
      </c>
      <c r="N20" s="10">
        <f t="shared" si="18"/>
        <v>0.6015810833385787</v>
      </c>
      <c r="O20" s="8">
        <f t="shared" si="19"/>
        <v>1031.1345985174235</v>
      </c>
      <c r="P20" s="8">
        <f t="shared" si="20"/>
        <v>4185.508813782633</v>
      </c>
      <c r="Q20" s="10">
        <f t="shared" si="21"/>
        <v>1.3938965760818136E-07</v>
      </c>
      <c r="R20" s="10">
        <f t="shared" si="22"/>
        <v>0.004433828443175075</v>
      </c>
      <c r="S20" s="12">
        <f t="shared" si="23"/>
        <v>198.1429428372655</v>
      </c>
      <c r="T20" s="13">
        <f t="shared" si="24"/>
        <v>15.07192384600889</v>
      </c>
      <c r="U20" s="13">
        <f t="shared" si="25"/>
        <v>10.837680153052375</v>
      </c>
      <c r="V20" s="13">
        <f t="shared" si="26"/>
        <v>11.874490041537848</v>
      </c>
      <c r="W20" s="11">
        <f t="shared" si="5"/>
        <v>4.861315600000001E-05</v>
      </c>
      <c r="X20" s="10">
        <f t="shared" si="27"/>
        <v>0.6004227</v>
      </c>
      <c r="Y20" s="8">
        <f t="shared" si="6"/>
        <v>1031.937392881126</v>
      </c>
      <c r="Z20" s="8">
        <f t="shared" si="7"/>
        <v>4185.014430534605</v>
      </c>
      <c r="AA20" s="10">
        <f t="shared" si="28"/>
        <v>1.3902944645216792E-07</v>
      </c>
      <c r="AB20" s="10">
        <f t="shared" si="8"/>
        <v>0.004430006226494417</v>
      </c>
      <c r="AC20" s="12">
        <f t="shared" si="29"/>
        <v>197.93760085667185</v>
      </c>
      <c r="AD20" s="13">
        <f t="shared" si="30"/>
        <v>15.09752256334989</v>
      </c>
      <c r="AE20" s="13">
        <f t="shared" si="9"/>
        <v>14.567084661635365</v>
      </c>
      <c r="AF20" s="13">
        <f t="shared" si="31"/>
        <v>11.893675503324458</v>
      </c>
      <c r="AG20" s="8">
        <f t="shared" si="10"/>
        <v>0.021489403842345017</v>
      </c>
      <c r="AH20" s="8">
        <f t="shared" si="11"/>
        <v>3.837393543276325E-05</v>
      </c>
      <c r="AI20" s="8">
        <f t="shared" si="12"/>
        <v>0.0017857142857144854</v>
      </c>
      <c r="AJ20" s="9">
        <f t="shared" si="32"/>
        <v>-1.0368098884854735</v>
      </c>
      <c r="AK20" s="8">
        <v>93.439</v>
      </c>
      <c r="AL20" s="8">
        <f t="shared" si="13"/>
        <v>0.7278168076263989</v>
      </c>
      <c r="AM20" s="8">
        <v>99.379</v>
      </c>
      <c r="AN20" s="8">
        <v>69.13</v>
      </c>
      <c r="AO20" s="8">
        <f t="shared" si="14"/>
        <v>0.7740847668008424</v>
      </c>
      <c r="AP20" s="9">
        <f t="shared" si="33"/>
        <v>-1.0368098884854735</v>
      </c>
      <c r="AQ20" s="8">
        <v>0.9199201198202694</v>
      </c>
    </row>
    <row r="21" spans="1:43" s="8" customFormat="1" ht="12.75">
      <c r="A21" s="8">
        <f t="shared" si="15"/>
        <v>0.000976533964849581</v>
      </c>
      <c r="B21" s="7">
        <v>21051907</v>
      </c>
      <c r="C21" s="17">
        <v>760</v>
      </c>
      <c r="D21" s="8">
        <v>20.3</v>
      </c>
      <c r="E21" s="8">
        <f t="shared" si="16"/>
        <v>21.173301757520946</v>
      </c>
      <c r="F21" s="8">
        <f t="shared" si="0"/>
        <v>0.8733017575209459</v>
      </c>
      <c r="G21" s="8">
        <v>31.6</v>
      </c>
      <c r="H21" s="10">
        <f t="shared" si="1"/>
        <v>3.16E-05</v>
      </c>
      <c r="I21" s="10">
        <f t="shared" si="2"/>
        <v>1.58E-05</v>
      </c>
      <c r="J21" s="10">
        <f t="shared" si="3"/>
        <v>0.010972222222222223</v>
      </c>
      <c r="K21" s="8">
        <v>55.9</v>
      </c>
      <c r="L21" s="8">
        <f t="shared" si="4"/>
        <v>0.5589999999999999</v>
      </c>
      <c r="M21" s="11">
        <f t="shared" si="17"/>
        <v>5.227895180764347E-05</v>
      </c>
      <c r="N21" s="10">
        <f t="shared" si="18"/>
        <v>0.6017370253023524</v>
      </c>
      <c r="O21" s="8">
        <f t="shared" si="19"/>
        <v>1031.026464206297</v>
      </c>
      <c r="P21" s="8">
        <f t="shared" si="20"/>
        <v>4185.5749746789825</v>
      </c>
      <c r="Q21" s="10">
        <f t="shared" si="21"/>
        <v>1.3943820911501326E-07</v>
      </c>
      <c r="R21" s="10">
        <f t="shared" si="22"/>
        <v>0.004406100946970603</v>
      </c>
      <c r="S21" s="12">
        <f t="shared" si="23"/>
        <v>199.40701135991497</v>
      </c>
      <c r="T21" s="13">
        <f t="shared" si="24"/>
        <v>15.264886610075738</v>
      </c>
      <c r="U21" s="13">
        <f t="shared" si="25"/>
        <v>10.54434428961755</v>
      </c>
      <c r="V21" s="13">
        <f t="shared" si="26"/>
        <v>12.019110893529211</v>
      </c>
      <c r="W21" s="11">
        <f t="shared" si="5"/>
        <v>4.90836E-05</v>
      </c>
      <c r="X21" s="10">
        <f t="shared" si="27"/>
        <v>0.6005929999999999</v>
      </c>
      <c r="Y21" s="8">
        <f t="shared" si="6"/>
        <v>1031.8194205953137</v>
      </c>
      <c r="Z21" s="8">
        <f t="shared" si="7"/>
        <v>4185.087438260979</v>
      </c>
      <c r="AA21" s="10">
        <f t="shared" si="28"/>
        <v>1.3908235390013224E-07</v>
      </c>
      <c r="AB21" s="10">
        <f t="shared" si="8"/>
        <v>0.00440234991185625</v>
      </c>
      <c r="AC21" s="12">
        <f t="shared" si="29"/>
        <v>199.203045336457</v>
      </c>
      <c r="AD21" s="13">
        <f t="shared" si="30"/>
        <v>15.290487392214924</v>
      </c>
      <c r="AE21" s="13">
        <f t="shared" si="9"/>
        <v>14.248564047889756</v>
      </c>
      <c r="AF21" s="13">
        <f t="shared" si="31"/>
        <v>12.038298241897687</v>
      </c>
      <c r="AG21" s="8">
        <f t="shared" si="10"/>
        <v>0.02190532778768073</v>
      </c>
      <c r="AH21" s="8">
        <f t="shared" si="11"/>
        <v>3.911665676371996E-05</v>
      </c>
      <c r="AI21" s="8">
        <f t="shared" si="12"/>
        <v>0.0017857142857144856</v>
      </c>
      <c r="AJ21" s="9">
        <f t="shared" si="32"/>
        <v>-1.474766603911661</v>
      </c>
      <c r="AK21" s="8">
        <v>81.169</v>
      </c>
      <c r="AL21" s="8">
        <f t="shared" si="13"/>
        <v>0.6444800570874353</v>
      </c>
      <c r="AM21" s="8">
        <v>99.439</v>
      </c>
      <c r="AN21" s="8">
        <v>66.522</v>
      </c>
      <c r="AO21" s="8">
        <f t="shared" si="14"/>
        <v>0.7895434512771806</v>
      </c>
      <c r="AP21" s="9">
        <f t="shared" si="33"/>
        <v>-1.474766603911661</v>
      </c>
      <c r="AQ21" s="8">
        <v>0.9199201198202694</v>
      </c>
    </row>
    <row r="22" spans="1:42" s="8" customFormat="1" ht="12.75">
      <c r="A22" s="8">
        <f t="shared" si="15"/>
        <v>0.0009769771787336244</v>
      </c>
      <c r="B22" s="7">
        <v>18052304</v>
      </c>
      <c r="C22" s="8">
        <v>3885</v>
      </c>
      <c r="D22" s="8">
        <v>18.9</v>
      </c>
      <c r="E22" s="8">
        <f t="shared" si="16"/>
        <v>21.151141063318775</v>
      </c>
      <c r="F22" s="8">
        <f t="shared" si="0"/>
        <v>2.2511410633187747</v>
      </c>
      <c r="G22" s="8">
        <v>62.6</v>
      </c>
      <c r="H22" s="10">
        <f t="shared" si="1"/>
        <v>6.26E-05</v>
      </c>
      <c r="I22" s="10">
        <f t="shared" si="2"/>
        <v>3.13E-05</v>
      </c>
      <c r="J22" s="10">
        <f t="shared" si="3"/>
        <v>0.021736111111111116</v>
      </c>
      <c r="K22" s="8">
        <v>4</v>
      </c>
      <c r="L22" s="8">
        <f t="shared" si="4"/>
        <v>0.04</v>
      </c>
      <c r="M22" s="11">
        <f t="shared" si="17"/>
        <v>5.219711285785393E-05</v>
      </c>
      <c r="N22" s="10">
        <f t="shared" si="18"/>
        <v>0.6017079947929476</v>
      </c>
      <c r="O22" s="8">
        <f t="shared" si="19"/>
        <v>1031.0465958483471</v>
      </c>
      <c r="P22" s="8">
        <f t="shared" si="20"/>
        <v>4185.562665007866</v>
      </c>
      <c r="Q22" s="10">
        <f t="shared" si="21"/>
        <v>1.3942916958276915E-07</v>
      </c>
      <c r="R22" s="10">
        <f t="shared" si="22"/>
        <v>0.0035082661901577996</v>
      </c>
      <c r="S22" s="12">
        <f t="shared" si="23"/>
        <v>248.7350644223818</v>
      </c>
      <c r="T22" s="13">
        <f t="shared" si="24"/>
        <v>24.243283930644232</v>
      </c>
      <c r="U22" s="13">
        <f t="shared" si="25"/>
        <v>11.522001415632362</v>
      </c>
      <c r="V22" s="13">
        <f t="shared" si="26"/>
        <v>18.749975192302927</v>
      </c>
      <c r="W22" s="11">
        <f t="shared" si="5"/>
        <v>4.4088399999999996E-05</v>
      </c>
      <c r="X22" s="10">
        <f t="shared" si="27"/>
        <v>0.5987589999999999</v>
      </c>
      <c r="Y22" s="8">
        <f t="shared" si="6"/>
        <v>1033.0889747426068</v>
      </c>
      <c r="Z22" s="8">
        <f t="shared" si="7"/>
        <v>4184.295154570028</v>
      </c>
      <c r="AA22" s="10">
        <f t="shared" si="28"/>
        <v>1.3851347221607756E-07</v>
      </c>
      <c r="AB22" s="10">
        <f t="shared" si="8"/>
        <v>0.003500569936014076</v>
      </c>
      <c r="AC22" s="12">
        <f t="shared" si="29"/>
        <v>248.08250909457516</v>
      </c>
      <c r="AD22" s="13">
        <f t="shared" si="30"/>
        <v>24.34782725040085</v>
      </c>
      <c r="AE22" s="13">
        <f t="shared" si="9"/>
        <v>16.671011788309354</v>
      </c>
      <c r="AF22" s="13">
        <f t="shared" si="31"/>
        <v>18.82836122588783</v>
      </c>
      <c r="AG22" s="8">
        <f t="shared" si="10"/>
        <v>0.02254115226337449</v>
      </c>
      <c r="AH22" s="8">
        <f t="shared" si="11"/>
        <v>0.02093106995884774</v>
      </c>
      <c r="AI22" s="8">
        <f t="shared" si="12"/>
        <v>0.9285714285714286</v>
      </c>
      <c r="AJ22" s="9">
        <f t="shared" si="32"/>
        <v>-7.227973776670565</v>
      </c>
      <c r="AK22" s="8">
        <v>51.187</v>
      </c>
      <c r="AL22" s="8">
        <f t="shared" si="13"/>
        <v>0.805130381470705</v>
      </c>
      <c r="AM22" s="8">
        <v>58.287</v>
      </c>
      <c r="AN22" s="8">
        <v>34.435</v>
      </c>
      <c r="AO22" s="8">
        <f t="shared" si="14"/>
        <v>0.9168076766519425</v>
      </c>
      <c r="AP22" s="9">
        <f t="shared" si="33"/>
        <v>-7.227973776670565</v>
      </c>
    </row>
    <row r="23" spans="1:42" s="8" customFormat="1" ht="12.75">
      <c r="A23" s="8">
        <f t="shared" si="15"/>
        <v>0.000978468771880432</v>
      </c>
      <c r="B23" s="7">
        <v>18052300</v>
      </c>
      <c r="C23" s="8">
        <v>3855</v>
      </c>
      <c r="D23" s="8">
        <v>18.85</v>
      </c>
      <c r="E23" s="8">
        <f t="shared" si="16"/>
        <v>21.076561405978392</v>
      </c>
      <c r="F23" s="8">
        <f t="shared" si="0"/>
        <v>2.2265614059783916</v>
      </c>
      <c r="G23" s="8">
        <v>62.8</v>
      </c>
      <c r="H23" s="10">
        <f t="shared" si="1"/>
        <v>6.28E-05</v>
      </c>
      <c r="I23" s="10">
        <f t="shared" si="2"/>
        <v>3.14E-05</v>
      </c>
      <c r="J23" s="10">
        <f t="shared" si="3"/>
        <v>0.021805555555555557</v>
      </c>
      <c r="K23" s="8">
        <v>-3</v>
      </c>
      <c r="L23" s="8">
        <f t="shared" si="4"/>
        <v>-0.03</v>
      </c>
      <c r="M23" s="11">
        <f t="shared" si="17"/>
        <v>5.192198043995589E-05</v>
      </c>
      <c r="N23" s="10">
        <f t="shared" si="18"/>
        <v>0.6016102954418316</v>
      </c>
      <c r="O23" s="8">
        <f t="shared" si="19"/>
        <v>1031.1143431858256</v>
      </c>
      <c r="P23" s="8">
        <f t="shared" si="20"/>
        <v>4185.521214519923</v>
      </c>
      <c r="Q23" s="10">
        <f t="shared" si="21"/>
        <v>1.3939875152588095E-07</v>
      </c>
      <c r="R23" s="10">
        <f t="shared" si="22"/>
        <v>0.0035042834834422545</v>
      </c>
      <c r="S23" s="12">
        <f t="shared" si="23"/>
        <v>248.96928302236736</v>
      </c>
      <c r="T23" s="13">
        <f t="shared" si="24"/>
        <v>24.299214609522107</v>
      </c>
      <c r="U23" s="13">
        <f t="shared" si="25"/>
        <v>11.294129206825282</v>
      </c>
      <c r="V23" s="13">
        <f t="shared" si="26"/>
        <v>18.791911699488928</v>
      </c>
      <c r="W23" s="11">
        <f t="shared" si="5"/>
        <v>4.3912900000000004E-05</v>
      </c>
      <c r="X23" s="10">
        <f t="shared" si="27"/>
        <v>0.5986935</v>
      </c>
      <c r="Y23" s="8">
        <f t="shared" si="6"/>
        <v>1033.1342786610087</v>
      </c>
      <c r="Z23" s="8">
        <f t="shared" si="7"/>
        <v>4184.266608719079</v>
      </c>
      <c r="AA23" s="10">
        <f t="shared" si="28"/>
        <v>1.3849319135914755E-07</v>
      </c>
      <c r="AB23" s="10">
        <f t="shared" si="8"/>
        <v>0.0034966795934889415</v>
      </c>
      <c r="AC23" s="12">
        <f t="shared" si="29"/>
        <v>248.32311340113677</v>
      </c>
      <c r="AD23" s="13">
        <f t="shared" si="30"/>
        <v>24.402853073828403</v>
      </c>
      <c r="AE23" s="13">
        <f t="shared" si="9"/>
        <v>16.37165097200637</v>
      </c>
      <c r="AF23" s="13">
        <f t="shared" si="31"/>
        <v>18.869619373708158</v>
      </c>
      <c r="AG23" s="8">
        <f t="shared" si="10"/>
        <v>0.022405708460754334</v>
      </c>
      <c r="AH23" s="8">
        <f t="shared" si="11"/>
        <v>0.02120540265035678</v>
      </c>
      <c r="AI23" s="8">
        <f t="shared" si="12"/>
        <v>0.9464285714285714</v>
      </c>
      <c r="AJ23" s="9">
        <f t="shared" si="32"/>
        <v>-7.497782492663646</v>
      </c>
      <c r="AK23" s="8">
        <v>55.701</v>
      </c>
      <c r="AL23" s="8">
        <f t="shared" si="13"/>
        <v>0.8789311181800364</v>
      </c>
      <c r="AM23" s="8">
        <v>56.827</v>
      </c>
      <c r="AN23" s="8">
        <v>18.957</v>
      </c>
      <c r="AO23" s="8">
        <f t="shared" si="14"/>
        <v>0.896698778348987</v>
      </c>
      <c r="AP23" s="9">
        <f t="shared" si="33"/>
        <v>-7.497782492663646</v>
      </c>
    </row>
    <row r="24" spans="1:43" s="8" customFormat="1" ht="12.75">
      <c r="A24" s="8">
        <f t="shared" si="15"/>
        <v>0.0009747154816617491</v>
      </c>
      <c r="B24" s="7">
        <v>18052233</v>
      </c>
      <c r="C24" s="8">
        <v>3097</v>
      </c>
      <c r="D24" s="8">
        <v>19.34</v>
      </c>
      <c r="E24" s="8">
        <f t="shared" si="16"/>
        <v>21.26422591691254</v>
      </c>
      <c r="F24" s="8">
        <f t="shared" si="0"/>
        <v>1.9242259169125406</v>
      </c>
      <c r="G24" s="8">
        <v>58.4</v>
      </c>
      <c r="H24" s="10">
        <f t="shared" si="1"/>
        <v>5.8399999999999997E-05</v>
      </c>
      <c r="I24" s="10">
        <f t="shared" si="2"/>
        <v>2.9199999999999998E-05</v>
      </c>
      <c r="J24" s="10">
        <f t="shared" si="3"/>
        <v>0.02027777777777778</v>
      </c>
      <c r="K24" s="8">
        <v>-4</v>
      </c>
      <c r="L24" s="8">
        <f t="shared" si="4"/>
        <v>-0.04</v>
      </c>
      <c r="M24" s="11">
        <f t="shared" si="17"/>
        <v>5.261514398764488E-05</v>
      </c>
      <c r="N24" s="10">
        <f t="shared" si="18"/>
        <v>0.6018561359511554</v>
      </c>
      <c r="O24" s="8">
        <f t="shared" si="19"/>
        <v>1030.9438598057204</v>
      </c>
      <c r="P24" s="8">
        <f t="shared" si="20"/>
        <v>4185.6254472046985</v>
      </c>
      <c r="Q24" s="10">
        <f t="shared" si="21"/>
        <v>1.3947530298072503E-07</v>
      </c>
      <c r="R24" s="10">
        <f t="shared" si="22"/>
        <v>0.003590816792707664</v>
      </c>
      <c r="S24" s="12">
        <f t="shared" si="23"/>
        <v>243.260163345637</v>
      </c>
      <c r="T24" s="13">
        <f t="shared" si="24"/>
        <v>23.123800727473757</v>
      </c>
      <c r="U24" s="13">
        <f t="shared" si="25"/>
        <v>10.866217433068456</v>
      </c>
      <c r="V24" s="13">
        <f t="shared" si="26"/>
        <v>17.91060467255522</v>
      </c>
      <c r="W24" s="11">
        <f t="shared" si="5"/>
        <v>4.5641424E-05</v>
      </c>
      <c r="X24" s="10">
        <f t="shared" si="27"/>
        <v>0.5993354</v>
      </c>
      <c r="Y24" s="8">
        <f t="shared" si="6"/>
        <v>1032.6901894972068</v>
      </c>
      <c r="Z24" s="8">
        <f t="shared" si="7"/>
        <v>4184.5456071423605</v>
      </c>
      <c r="AA24" s="10">
        <f t="shared" si="28"/>
        <v>1.3869205188864387E-07</v>
      </c>
      <c r="AB24" s="10">
        <f t="shared" si="8"/>
        <v>0.003584083197049968</v>
      </c>
      <c r="AC24" s="12">
        <f t="shared" si="29"/>
        <v>242.7146783179865</v>
      </c>
      <c r="AD24" s="13">
        <f t="shared" si="30"/>
        <v>23.209038481350838</v>
      </c>
      <c r="AE24" s="13">
        <f t="shared" si="9"/>
        <v>15.80774642108417</v>
      </c>
      <c r="AF24" s="13">
        <f t="shared" si="31"/>
        <v>17.97451375292073</v>
      </c>
      <c r="AG24" s="8">
        <f t="shared" si="10"/>
        <v>0.021028806584362143</v>
      </c>
      <c r="AH24" s="8">
        <f t="shared" si="11"/>
        <v>0.019526748971193417</v>
      </c>
      <c r="AI24" s="8">
        <f t="shared" si="12"/>
        <v>0.9285714285714285</v>
      </c>
      <c r="AJ24" s="9">
        <f t="shared" si="32"/>
        <v>-7.044387239486763</v>
      </c>
      <c r="AK24" s="8">
        <v>50.472</v>
      </c>
      <c r="AL24" s="8">
        <f t="shared" si="13"/>
        <v>0.7406202228219083</v>
      </c>
      <c r="AO24" s="8">
        <f t="shared" si="14"/>
        <v>0</v>
      </c>
      <c r="AP24" s="9">
        <f t="shared" si="33"/>
        <v>-7.044387239486763</v>
      </c>
      <c r="AQ24" s="8">
        <v>0.9643133750372354</v>
      </c>
    </row>
    <row r="25" spans="1:43" s="8" customFormat="1" ht="12.75">
      <c r="A25" s="8">
        <f t="shared" si="15"/>
        <v>0.0009734056886890932</v>
      </c>
      <c r="B25" s="7">
        <v>18052229</v>
      </c>
      <c r="C25" s="8">
        <v>3000</v>
      </c>
      <c r="D25" s="8">
        <v>19.5</v>
      </c>
      <c r="E25" s="8">
        <f t="shared" si="16"/>
        <v>21.32971556554534</v>
      </c>
      <c r="F25" s="8">
        <f t="shared" si="0"/>
        <v>1.8297155655453377</v>
      </c>
      <c r="G25" s="8">
        <v>59.5</v>
      </c>
      <c r="H25" s="10">
        <f t="shared" si="1"/>
        <v>5.9499999999999996E-05</v>
      </c>
      <c r="I25" s="10">
        <f t="shared" si="2"/>
        <v>2.9749999999999998E-05</v>
      </c>
      <c r="J25" s="10">
        <f t="shared" si="3"/>
        <v>0.02065972222222222</v>
      </c>
      <c r="K25" s="8">
        <v>-3</v>
      </c>
      <c r="L25" s="8">
        <f t="shared" si="4"/>
        <v>-0.03</v>
      </c>
      <c r="M25" s="11">
        <f t="shared" si="17"/>
        <v>5.285770177537336E-05</v>
      </c>
      <c r="N25" s="10">
        <f t="shared" si="18"/>
        <v>0.6019419273908644</v>
      </c>
      <c r="O25" s="8">
        <f t="shared" si="19"/>
        <v>1030.8843572861842</v>
      </c>
      <c r="P25" s="8">
        <f t="shared" si="20"/>
        <v>4185.661767672574</v>
      </c>
      <c r="Q25" s="10">
        <f t="shared" si="21"/>
        <v>1.3950202558073064E-07</v>
      </c>
      <c r="R25" s="10">
        <f t="shared" si="22"/>
        <v>0.0035687808136373304</v>
      </c>
      <c r="S25" s="12">
        <f t="shared" si="23"/>
        <v>244.7469450039794</v>
      </c>
      <c r="T25" s="13">
        <f t="shared" si="24"/>
        <v>23.41508577708694</v>
      </c>
      <c r="U25" s="13">
        <f t="shared" si="25"/>
        <v>10.12414576431738</v>
      </c>
      <c r="V25" s="13">
        <f t="shared" si="26"/>
        <v>18.129003303949442</v>
      </c>
      <c r="W25" s="11">
        <f t="shared" si="5"/>
        <v>4.621E-05</v>
      </c>
      <c r="X25" s="10">
        <f t="shared" si="27"/>
        <v>0.599545</v>
      </c>
      <c r="Y25" s="8">
        <f t="shared" si="6"/>
        <v>1032.5451273122644</v>
      </c>
      <c r="Z25" s="8">
        <f t="shared" si="7"/>
        <v>4184.636348692452</v>
      </c>
      <c r="AA25" s="10">
        <f t="shared" si="28"/>
        <v>1.3875703808528982E-07</v>
      </c>
      <c r="AB25" s="10">
        <f t="shared" si="8"/>
        <v>0.00356241727917434</v>
      </c>
      <c r="AC25" s="12">
        <f t="shared" si="29"/>
        <v>244.2253705452867</v>
      </c>
      <c r="AD25" s="13">
        <f t="shared" si="30"/>
        <v>23.497136467279933</v>
      </c>
      <c r="AE25" s="13">
        <f t="shared" si="9"/>
        <v>14.93545836141515</v>
      </c>
      <c r="AF25" s="13">
        <f t="shared" si="31"/>
        <v>18.190523258837473</v>
      </c>
      <c r="AG25" s="8">
        <f t="shared" si="10"/>
        <v>0.021228338430173292</v>
      </c>
      <c r="AH25" s="8">
        <f t="shared" si="11"/>
        <v>0.02009110601427115</v>
      </c>
      <c r="AI25" s="8">
        <f t="shared" si="12"/>
        <v>0.9464285714285714</v>
      </c>
      <c r="AJ25" s="9">
        <f t="shared" si="32"/>
        <v>-8.004857539632063</v>
      </c>
      <c r="AK25" s="8">
        <v>75.371</v>
      </c>
      <c r="AL25" s="8">
        <f t="shared" si="13"/>
        <v>1.1268171493469619</v>
      </c>
      <c r="AO25" s="8">
        <f t="shared" si="14"/>
        <v>0</v>
      </c>
      <c r="AP25" s="9">
        <f t="shared" si="33"/>
        <v>-8.004857539632063</v>
      </c>
      <c r="AQ25" s="8">
        <v>0.9643133750372354</v>
      </c>
    </row>
    <row r="26" spans="1:43" s="8" customFormat="1" ht="12.75">
      <c r="A26" s="8">
        <f t="shared" si="15"/>
        <v>0.0009804053848020055</v>
      </c>
      <c r="B26" s="7">
        <v>18052238</v>
      </c>
      <c r="C26" s="8">
        <v>3145</v>
      </c>
      <c r="D26" s="8">
        <v>19.18</v>
      </c>
      <c r="E26" s="8">
        <f t="shared" si="16"/>
        <v>20.979730759899724</v>
      </c>
      <c r="F26" s="8">
        <f t="shared" si="0"/>
        <v>1.799730759899722</v>
      </c>
      <c r="G26" s="8">
        <v>63.4</v>
      </c>
      <c r="H26" s="10">
        <f t="shared" si="1"/>
        <v>6.34E-05</v>
      </c>
      <c r="I26" s="10">
        <f t="shared" si="2"/>
        <v>3.17E-05</v>
      </c>
      <c r="J26" s="10">
        <f t="shared" si="3"/>
        <v>0.02201388888888889</v>
      </c>
      <c r="K26" s="8">
        <v>-6</v>
      </c>
      <c r="L26" s="8">
        <f t="shared" si="4"/>
        <v>-0.06</v>
      </c>
      <c r="M26" s="11">
        <f t="shared" si="17"/>
        <v>5.156542563011475E-05</v>
      </c>
      <c r="N26" s="10">
        <f t="shared" si="18"/>
        <v>0.6014834472954685</v>
      </c>
      <c r="O26" s="8">
        <f t="shared" si="19"/>
        <v>1031.2022944687383</v>
      </c>
      <c r="P26" s="8">
        <f t="shared" si="20"/>
        <v>4185.4673430444445</v>
      </c>
      <c r="Q26" s="10">
        <f t="shared" si="21"/>
        <v>1.393592664827887E-07</v>
      </c>
      <c r="R26" s="10">
        <f t="shared" si="22"/>
        <v>0.0034928651949070904</v>
      </c>
      <c r="S26" s="12">
        <f t="shared" si="23"/>
        <v>249.70516124590137</v>
      </c>
      <c r="T26" s="13">
        <f t="shared" si="24"/>
        <v>24.460850495310765</v>
      </c>
      <c r="U26" s="13">
        <f t="shared" si="25"/>
        <v>8.956230422461228</v>
      </c>
      <c r="V26" s="13">
        <f t="shared" si="26"/>
        <v>18.913105668629086</v>
      </c>
      <c r="W26" s="11">
        <f t="shared" si="5"/>
        <v>4.5074896E-05</v>
      </c>
      <c r="X26" s="10">
        <f t="shared" si="27"/>
        <v>0.5991257999999999</v>
      </c>
      <c r="Y26" s="8">
        <f t="shared" si="6"/>
        <v>1032.835225341078</v>
      </c>
      <c r="Z26" s="8">
        <f t="shared" si="7"/>
        <v>4184.454688981812</v>
      </c>
      <c r="AA26" s="10">
        <f t="shared" si="28"/>
        <v>1.3862709136024158E-07</v>
      </c>
      <c r="AB26" s="10">
        <f t="shared" si="8"/>
        <v>0.0034867380461121606</v>
      </c>
      <c r="AC26" s="12">
        <f t="shared" si="29"/>
        <v>249.18146408108493</v>
      </c>
      <c r="AD26" s="13">
        <f t="shared" si="30"/>
        <v>24.54513479634072</v>
      </c>
      <c r="AE26" s="13">
        <f t="shared" si="9"/>
        <v>13.451543828603471</v>
      </c>
      <c r="AF26" s="13">
        <f t="shared" si="31"/>
        <v>18.976301886859602</v>
      </c>
      <c r="AG26" s="8">
        <f t="shared" si="10"/>
        <v>0.023259958071278827</v>
      </c>
      <c r="AH26" s="8">
        <f t="shared" si="11"/>
        <v>0.020767819706498953</v>
      </c>
      <c r="AI26" s="8">
        <f t="shared" si="12"/>
        <v>0.8928571428571429</v>
      </c>
      <c r="AJ26" s="9">
        <f t="shared" si="32"/>
        <v>-9.956875246167858</v>
      </c>
      <c r="AK26" s="8">
        <v>59.225</v>
      </c>
      <c r="AL26" s="8">
        <f t="shared" si="13"/>
        <v>0.9434666043529168</v>
      </c>
      <c r="AO26" s="8">
        <f t="shared" si="14"/>
        <v>0</v>
      </c>
      <c r="AP26" s="9">
        <f t="shared" si="33"/>
        <v>-9.956875246167858</v>
      </c>
      <c r="AQ26" s="8">
        <v>0.9643133750372354</v>
      </c>
    </row>
    <row r="27" spans="1:42" s="8" customFormat="1" ht="12.75">
      <c r="A27" s="8">
        <f t="shared" si="15"/>
        <v>0.0010379833149265405</v>
      </c>
      <c r="B27" s="7" t="s">
        <v>62</v>
      </c>
      <c r="C27" s="14">
        <v>6000</v>
      </c>
      <c r="D27" s="8">
        <v>15.3</v>
      </c>
      <c r="E27" s="8">
        <f t="shared" si="16"/>
        <v>18.10083425367297</v>
      </c>
      <c r="F27" s="8">
        <f t="shared" si="0"/>
        <v>2.8008342536729725</v>
      </c>
      <c r="G27" s="8">
        <v>77.5</v>
      </c>
      <c r="H27" s="10">
        <f t="shared" si="1"/>
        <v>7.75E-05</v>
      </c>
      <c r="I27" s="10">
        <f t="shared" si="2"/>
        <v>3.875E-05</v>
      </c>
      <c r="J27" s="10">
        <f t="shared" si="3"/>
        <v>0.026909722222222224</v>
      </c>
      <c r="K27" s="8">
        <v>-5</v>
      </c>
      <c r="L27" s="8">
        <f t="shared" si="4"/>
        <v>-0.05</v>
      </c>
      <c r="M27" s="11">
        <f t="shared" si="17"/>
        <v>4.130727653450358E-05</v>
      </c>
      <c r="N27" s="10">
        <f t="shared" si="18"/>
        <v>0.5977120928723115</v>
      </c>
      <c r="O27" s="8">
        <f t="shared" si="19"/>
        <v>1033.8127745345425</v>
      </c>
      <c r="P27" s="8">
        <f t="shared" si="20"/>
        <v>4183.836785281764</v>
      </c>
      <c r="Q27" s="10">
        <f t="shared" si="21"/>
        <v>1.381896173290759E-07</v>
      </c>
      <c r="R27" s="10">
        <f t="shared" si="22"/>
        <v>0.003257571021629525</v>
      </c>
      <c r="S27" s="12">
        <f t="shared" si="23"/>
        <v>265.48357204557277</v>
      </c>
      <c r="T27" s="13">
        <f t="shared" si="24"/>
        <v>28.18400222574923</v>
      </c>
      <c r="U27" s="13">
        <f t="shared" si="25"/>
        <v>8.714158769587076</v>
      </c>
      <c r="V27" s="13">
        <f t="shared" si="26"/>
        <v>21.704814921418908</v>
      </c>
      <c r="W27" s="11">
        <f>0.00000004*D27^2+0.000002*D27-0.000008</f>
        <v>3.19636E-05</v>
      </c>
      <c r="X27" s="10">
        <f>0.574+0.00131*D27</f>
        <v>0.594043</v>
      </c>
      <c r="Y27" s="8">
        <f>10^(3+LOG10(0.3471)-(1-(D27+273.15)/(374.2+273.15))^(2/7)*LOG10(0.274))</f>
        <v>1036.3443313521543</v>
      </c>
      <c r="Z27" s="8">
        <f>4.1868*(0.6741+(0.002825*(D27+273.15))+(-0.000008371*((D27+273.15)^2))+(0.000000008601*((D27+273.15)^3)))*1000</f>
        <v>4182.193482400538</v>
      </c>
      <c r="AA27" s="10">
        <f>X27/(Y27*Z27)</f>
        <v>1.3705967118195748E-07</v>
      </c>
      <c r="AB27" s="10">
        <f t="shared" si="8"/>
        <v>0.003248668785915077</v>
      </c>
      <c r="AC27" s="12">
        <f t="shared" si="29"/>
        <v>264.6089039014771</v>
      </c>
      <c r="AD27" s="13">
        <f t="shared" si="30"/>
        <v>28.335274992625255</v>
      </c>
      <c r="AE27" s="13">
        <f t="shared" si="9"/>
        <v>12.178640090652237</v>
      </c>
      <c r="AF27" s="13">
        <f t="shared" si="31"/>
        <v>21.81824652900248</v>
      </c>
      <c r="AG27" s="8">
        <f t="shared" si="10"/>
        <v>0.028167185877466257</v>
      </c>
      <c r="AH27" s="8">
        <f t="shared" si="11"/>
        <v>0.025652258566978198</v>
      </c>
      <c r="AI27" s="8">
        <f t="shared" si="12"/>
        <v>0.9107142857142857</v>
      </c>
      <c r="AJ27" s="9">
        <f t="shared" si="32"/>
        <v>-12.990656151831832</v>
      </c>
      <c r="AK27" s="8">
        <v>49.38</v>
      </c>
      <c r="AL27" s="8">
        <f t="shared" si="13"/>
        <v>0.9615790505193651</v>
      </c>
      <c r="AO27" s="8">
        <f t="shared" si="14"/>
        <v>0</v>
      </c>
      <c r="AP27" s="9">
        <f t="shared" si="33"/>
        <v>-12.990656151831832</v>
      </c>
    </row>
    <row r="28" spans="1:42" s="8" customFormat="1" ht="12.75">
      <c r="A28" s="8">
        <f t="shared" si="15"/>
        <v>0.0010076678165943588</v>
      </c>
      <c r="B28" s="7">
        <v>21052045</v>
      </c>
      <c r="C28" s="17">
        <v>333</v>
      </c>
      <c r="D28" s="8">
        <v>19.2</v>
      </c>
      <c r="E28" s="8">
        <f t="shared" si="16"/>
        <v>19.616609170282057</v>
      </c>
      <c r="F28" s="8">
        <f t="shared" si="0"/>
        <v>0.4166091702820581</v>
      </c>
      <c r="G28" s="8">
        <v>29</v>
      </c>
      <c r="H28" s="10">
        <f t="shared" si="1"/>
        <v>2.9E-05</v>
      </c>
      <c r="I28" s="10">
        <f t="shared" si="2"/>
        <v>1.45E-05</v>
      </c>
      <c r="J28" s="10">
        <f t="shared" si="3"/>
        <v>0.010069444444444445</v>
      </c>
      <c r="K28" s="8">
        <v>10</v>
      </c>
      <c r="L28" s="8">
        <f t="shared" si="4"/>
        <v>0.1</v>
      </c>
      <c r="M28" s="11">
        <f t="shared" si="17"/>
        <v>4.662567255414787E-05</v>
      </c>
      <c r="N28" s="10">
        <f t="shared" si="18"/>
        <v>0.5996977580130695</v>
      </c>
      <c r="O28" s="8">
        <f t="shared" si="19"/>
        <v>1032.4393883253538</v>
      </c>
      <c r="P28" s="8">
        <f t="shared" si="20"/>
        <v>4184.7023710432895</v>
      </c>
      <c r="Q28" s="10">
        <f t="shared" si="21"/>
        <v>1.3880441666817887E-07</v>
      </c>
      <c r="R28" s="10">
        <f t="shared" si="22"/>
        <v>0.004527135122422215</v>
      </c>
      <c r="S28" s="12">
        <f t="shared" si="23"/>
        <v>193.5726667031385</v>
      </c>
      <c r="T28" s="13">
        <f t="shared" si="24"/>
        <v>14.447912099987622</v>
      </c>
      <c r="U28" s="13">
        <f t="shared" si="25"/>
        <v>4.998573684450836</v>
      </c>
      <c r="V28" s="13">
        <f t="shared" si="26"/>
        <v>11.406826974582227</v>
      </c>
      <c r="W28" s="11">
        <f t="shared" si="5"/>
        <v>4.51456E-05</v>
      </c>
      <c r="X28" s="10">
        <f t="shared" si="27"/>
        <v>0.5991519999999999</v>
      </c>
      <c r="Y28" s="8">
        <f t="shared" si="6"/>
        <v>1032.8170973004626</v>
      </c>
      <c r="Z28" s="8">
        <f t="shared" si="7"/>
        <v>4184.4660634405145</v>
      </c>
      <c r="AA28" s="10">
        <f t="shared" si="28"/>
        <v>1.3863521002237378E-07</v>
      </c>
      <c r="AB28" s="10">
        <f t="shared" si="8"/>
        <v>0.00452529498834889</v>
      </c>
      <c r="AC28" s="12">
        <f t="shared" si="29"/>
        <v>193.47766203561036</v>
      </c>
      <c r="AD28" s="13">
        <f t="shared" si="30"/>
        <v>14.45947823208907</v>
      </c>
      <c r="AE28" s="13">
        <f t="shared" si="9"/>
        <v>6.8180303582942186</v>
      </c>
      <c r="AF28" s="13">
        <f t="shared" si="31"/>
        <v>11.415494895315096</v>
      </c>
      <c r="AG28" s="8">
        <f t="shared" si="10"/>
        <v>0.011056644880174292</v>
      </c>
      <c r="AH28" s="8">
        <f t="shared" si="11"/>
        <v>0.009082244008714598</v>
      </c>
      <c r="AI28" s="8">
        <f t="shared" si="12"/>
        <v>0.8214285714285715</v>
      </c>
      <c r="AJ28" s="9">
        <f t="shared" si="32"/>
        <v>-6.408253290131391</v>
      </c>
      <c r="AK28" s="8">
        <v>122.941</v>
      </c>
      <c r="AL28" s="8">
        <f t="shared" si="13"/>
        <v>0.8958327679868135</v>
      </c>
      <c r="AM28" s="8">
        <v>123.41</v>
      </c>
      <c r="AN28" s="8">
        <v>-14.783</v>
      </c>
      <c r="AO28" s="8">
        <f t="shared" si="14"/>
        <v>0.8992502248822822</v>
      </c>
      <c r="AP28" s="9">
        <f t="shared" si="33"/>
        <v>-6.408253290131391</v>
      </c>
    </row>
    <row r="29" spans="1:42" s="8" customFormat="1" ht="12.75">
      <c r="A29" s="8">
        <f t="shared" si="15"/>
        <v>0.001008168024992392</v>
      </c>
      <c r="B29" s="7">
        <v>21052052</v>
      </c>
      <c r="C29" s="17">
        <v>329</v>
      </c>
      <c r="D29" s="8">
        <v>19.18</v>
      </c>
      <c r="E29" s="8">
        <f t="shared" si="16"/>
        <v>19.5915987503804</v>
      </c>
      <c r="F29" s="8">
        <f t="shared" si="0"/>
        <v>0.41159875038039956</v>
      </c>
      <c r="G29" s="8">
        <v>29</v>
      </c>
      <c r="H29" s="10">
        <f t="shared" si="1"/>
        <v>2.9E-05</v>
      </c>
      <c r="I29" s="10">
        <f t="shared" si="2"/>
        <v>1.45E-05</v>
      </c>
      <c r="J29" s="10">
        <f t="shared" si="3"/>
        <v>0.010069444444444445</v>
      </c>
      <c r="K29" s="8">
        <v>3</v>
      </c>
      <c r="L29" s="8">
        <f t="shared" si="4"/>
        <v>0.03</v>
      </c>
      <c r="M29" s="11">
        <f t="shared" si="17"/>
        <v>4.653642716459707E-05</v>
      </c>
      <c r="N29" s="10">
        <f t="shared" si="18"/>
        <v>0.5996649943629982</v>
      </c>
      <c r="O29" s="8">
        <f t="shared" si="19"/>
        <v>1032.4620684802549</v>
      </c>
      <c r="P29" s="8">
        <f t="shared" si="20"/>
        <v>4184.68821836691</v>
      </c>
      <c r="Q29" s="10">
        <f t="shared" si="21"/>
        <v>1.3879425372699642E-07</v>
      </c>
      <c r="R29" s="10">
        <f t="shared" si="22"/>
        <v>0.00452702464195611</v>
      </c>
      <c r="S29" s="12">
        <f t="shared" si="23"/>
        <v>193.56696597391115</v>
      </c>
      <c r="T29" s="13">
        <f t="shared" si="24"/>
        <v>14.44860613364651</v>
      </c>
      <c r="U29" s="13">
        <f t="shared" si="25"/>
        <v>4.929490705464377</v>
      </c>
      <c r="V29" s="13">
        <f t="shared" si="26"/>
        <v>11.407347098787458</v>
      </c>
      <c r="W29" s="11">
        <f t="shared" si="5"/>
        <v>4.5074896E-05</v>
      </c>
      <c r="X29" s="10">
        <f t="shared" si="27"/>
        <v>0.5991257999999999</v>
      </c>
      <c r="Y29" s="8">
        <f t="shared" si="6"/>
        <v>1032.835225341078</v>
      </c>
      <c r="Z29" s="8">
        <f t="shared" si="7"/>
        <v>4184.454688981812</v>
      </c>
      <c r="AA29" s="10">
        <f t="shared" si="28"/>
        <v>1.3862709136024158E-07</v>
      </c>
      <c r="AB29" s="10">
        <f t="shared" si="8"/>
        <v>0.0045252066596954</v>
      </c>
      <c r="AC29" s="12">
        <f t="shared" si="29"/>
        <v>193.4730987610181</v>
      </c>
      <c r="AD29" s="13">
        <f t="shared" si="30"/>
        <v>14.460033767720578</v>
      </c>
      <c r="AE29" s="13">
        <f t="shared" si="9"/>
        <v>6.725582419048316</v>
      </c>
      <c r="AF29" s="13">
        <f t="shared" si="31"/>
        <v>11.415911226536299</v>
      </c>
      <c r="AG29" s="8">
        <f t="shared" si="10"/>
        <v>0.01034658511722732</v>
      </c>
      <c r="AH29" s="8">
        <f t="shared" si="11"/>
        <v>0.00979230377166157</v>
      </c>
      <c r="AI29" s="8">
        <f t="shared" si="12"/>
        <v>0.9464285714285714</v>
      </c>
      <c r="AJ29" s="9">
        <f t="shared" si="32"/>
        <v>-6.477856393323081</v>
      </c>
      <c r="AK29" s="8">
        <v>116.509</v>
      </c>
      <c r="AL29" s="8">
        <f t="shared" si="13"/>
        <v>0.8489647877061002</v>
      </c>
      <c r="AM29" s="8">
        <v>132.12</v>
      </c>
      <c r="AN29" s="8">
        <v>0</v>
      </c>
      <c r="AO29" s="8">
        <f t="shared" si="14"/>
        <v>0.962717281512415</v>
      </c>
      <c r="AP29" s="9">
        <f t="shared" si="33"/>
        <v>-6.477856393323081</v>
      </c>
    </row>
    <row r="30" spans="1:42" s="8" customFormat="1" ht="12.75">
      <c r="A30" s="8">
        <f t="shared" si="15"/>
        <v>0.0010099920171924358</v>
      </c>
      <c r="B30" s="7">
        <v>21052037</v>
      </c>
      <c r="C30" s="17">
        <v>330</v>
      </c>
      <c r="D30" s="8">
        <v>19.1</v>
      </c>
      <c r="E30" s="8">
        <f t="shared" si="16"/>
        <v>19.50039914037821</v>
      </c>
      <c r="F30" s="8">
        <f t="shared" si="0"/>
        <v>0.40039914037820995</v>
      </c>
      <c r="G30" s="8">
        <v>29.9</v>
      </c>
      <c r="H30" s="10">
        <f t="shared" si="1"/>
        <v>2.99E-05</v>
      </c>
      <c r="I30" s="10">
        <f t="shared" si="2"/>
        <v>1.495E-05</v>
      </c>
      <c r="J30" s="10">
        <f t="shared" si="3"/>
        <v>0.010381944444444445</v>
      </c>
      <c r="K30" s="8">
        <v>12</v>
      </c>
      <c r="L30" s="8">
        <f t="shared" si="4"/>
        <v>0.12</v>
      </c>
      <c r="M30" s="11">
        <f t="shared" si="17"/>
        <v>4.621142094611895E-05</v>
      </c>
      <c r="N30" s="10">
        <f t="shared" si="18"/>
        <v>0.5995455228738954</v>
      </c>
      <c r="O30" s="8">
        <f t="shared" si="19"/>
        <v>1032.544765403215</v>
      </c>
      <c r="P30" s="8">
        <f t="shared" si="20"/>
        <v>4184.636574838708</v>
      </c>
      <c r="Q30" s="10">
        <f t="shared" si="21"/>
        <v>1.3875720023372579E-07</v>
      </c>
      <c r="R30" s="10">
        <f t="shared" si="22"/>
        <v>0.004480745273970959</v>
      </c>
      <c r="S30" s="12">
        <f t="shared" si="23"/>
        <v>195.47616715235986</v>
      </c>
      <c r="T30" s="13">
        <f t="shared" si="24"/>
        <v>14.752512637397533</v>
      </c>
      <c r="U30" s="13">
        <f t="shared" si="25"/>
        <v>4.5950843592331605</v>
      </c>
      <c r="V30" s="13">
        <f t="shared" si="26"/>
        <v>11.635104974723628</v>
      </c>
      <c r="W30" s="11">
        <f t="shared" si="5"/>
        <v>4.479240000000001E-05</v>
      </c>
      <c r="X30" s="10">
        <f t="shared" si="27"/>
        <v>0.5990209999999999</v>
      </c>
      <c r="Y30" s="8">
        <f t="shared" si="6"/>
        <v>1032.9077333911362</v>
      </c>
      <c r="Z30" s="8">
        <f t="shared" si="7"/>
        <v>4184.409163396053</v>
      </c>
      <c r="AA30" s="10">
        <f t="shared" si="28"/>
        <v>1.3859462072333088E-07</v>
      </c>
      <c r="AB30" s="10">
        <f t="shared" si="8"/>
        <v>0.004478994760099851</v>
      </c>
      <c r="AC30" s="12">
        <f t="shared" si="29"/>
        <v>195.38394867787187</v>
      </c>
      <c r="AD30" s="13">
        <f t="shared" si="30"/>
        <v>14.763861602506198</v>
      </c>
      <c r="AE30" s="13">
        <f t="shared" si="9"/>
        <v>6.306249652573909</v>
      </c>
      <c r="AF30" s="13">
        <f t="shared" si="31"/>
        <v>11.64361041181324</v>
      </c>
      <c r="AG30" s="8">
        <f t="shared" si="10"/>
        <v>0.01162777777777778</v>
      </c>
      <c r="AH30" s="8">
        <f t="shared" si="11"/>
        <v>0.009136111111111112</v>
      </c>
      <c r="AI30" s="8">
        <f t="shared" si="12"/>
        <v>0.7857142857142856</v>
      </c>
      <c r="AJ30" s="9">
        <f t="shared" si="32"/>
        <v>-7.040020615490468</v>
      </c>
      <c r="AK30" s="8">
        <v>115.382</v>
      </c>
      <c r="AL30" s="8">
        <f t="shared" si="13"/>
        <v>0.8668450146487565</v>
      </c>
      <c r="AM30" s="8">
        <v>125.85</v>
      </c>
      <c r="AN30" s="8">
        <v>81.304</v>
      </c>
      <c r="AO30" s="8">
        <f t="shared" si="14"/>
        <v>0.9454892885679396</v>
      </c>
      <c r="AP30" s="9">
        <f t="shared" si="33"/>
        <v>-7.040020615490468</v>
      </c>
    </row>
    <row r="31" spans="1:42" s="8" customFormat="1" ht="12.75">
      <c r="A31" s="8">
        <f t="shared" si="15"/>
        <v>0.0009727132498335334</v>
      </c>
      <c r="B31" s="7" t="s">
        <v>70</v>
      </c>
      <c r="C31" s="8">
        <v>1980</v>
      </c>
      <c r="D31" s="8">
        <v>20.18</v>
      </c>
      <c r="E31" s="8">
        <f t="shared" si="16"/>
        <v>21.36433750832333</v>
      </c>
      <c r="F31" s="8">
        <f t="shared" si="0"/>
        <v>1.184337508323332</v>
      </c>
      <c r="G31" s="8">
        <v>60.7</v>
      </c>
      <c r="H31" s="10">
        <f t="shared" si="1"/>
        <v>6.07E-05</v>
      </c>
      <c r="I31" s="10">
        <f t="shared" si="2"/>
        <v>3.035E-05</v>
      </c>
      <c r="J31" s="10">
        <f t="shared" si="3"/>
        <v>0.02107638888888889</v>
      </c>
      <c r="K31" s="8">
        <v>-7</v>
      </c>
      <c r="L31" s="8">
        <f t="shared" si="4"/>
        <v>-0.07</v>
      </c>
      <c r="M31" s="11">
        <f t="shared" si="17"/>
        <v>5.298607170342871E-05</v>
      </c>
      <c r="N31" s="10">
        <f t="shared" si="18"/>
        <v>0.6019872821359035</v>
      </c>
      <c r="O31" s="8">
        <f t="shared" si="19"/>
        <v>1030.8528987165344</v>
      </c>
      <c r="P31" s="8">
        <f t="shared" si="20"/>
        <v>4185.680957739083</v>
      </c>
      <c r="Q31" s="10">
        <f t="shared" si="21"/>
        <v>1.395161545589397E-07</v>
      </c>
      <c r="R31" s="10">
        <f t="shared" si="22"/>
        <v>0.00354522864047077</v>
      </c>
      <c r="S31" s="12">
        <f t="shared" si="23"/>
        <v>246.33743304261336</v>
      </c>
      <c r="T31" s="13">
        <f t="shared" si="24"/>
        <v>23.732477857509473</v>
      </c>
      <c r="U31" s="13">
        <f t="shared" si="25"/>
        <v>6.3942462320355675</v>
      </c>
      <c r="V31" s="13">
        <f t="shared" si="26"/>
        <v>18.366978183780294</v>
      </c>
      <c r="W31" s="11">
        <f t="shared" si="5"/>
        <v>4.8649296000000004E-05</v>
      </c>
      <c r="X31" s="10">
        <f t="shared" si="27"/>
        <v>0.6004358</v>
      </c>
      <c r="Y31" s="8">
        <f t="shared" si="6"/>
        <v>1031.9283187097622</v>
      </c>
      <c r="Z31" s="8">
        <f t="shared" si="7"/>
        <v>4185.020050539215</v>
      </c>
      <c r="AA31" s="10">
        <f t="shared" si="28"/>
        <v>1.3903351565496697E-07</v>
      </c>
      <c r="AB31" s="10">
        <f t="shared" si="8"/>
        <v>0.003541136232822756</v>
      </c>
      <c r="AC31" s="12">
        <f t="shared" si="29"/>
        <v>245.99801852178362</v>
      </c>
      <c r="AD31" s="13">
        <f t="shared" si="30"/>
        <v>23.78625891730842</v>
      </c>
      <c r="AE31" s="13">
        <f t="shared" si="9"/>
        <v>9.971480212097147</v>
      </c>
      <c r="AF31" s="13">
        <f t="shared" si="31"/>
        <v>18.40730243856845</v>
      </c>
      <c r="AG31" s="8">
        <f t="shared" si="10"/>
        <v>0.022481481481481484</v>
      </c>
      <c r="AH31" s="8">
        <f t="shared" si="11"/>
        <v>0.019671296296296298</v>
      </c>
      <c r="AI31" s="8">
        <f t="shared" si="12"/>
        <v>0.875</v>
      </c>
      <c r="AJ31" s="9">
        <f t="shared" si="32"/>
        <v>-11.972731951744727</v>
      </c>
      <c r="AK31" s="8">
        <v>62.895</v>
      </c>
      <c r="AL31" s="8">
        <f t="shared" si="13"/>
        <v>0.9592615066861649</v>
      </c>
      <c r="AO31" s="8">
        <f t="shared" si="14"/>
        <v>0</v>
      </c>
      <c r="AP31" s="9">
        <f t="shared" si="33"/>
        <v>-11.972731951744727</v>
      </c>
    </row>
    <row r="32" spans="1:42" s="8" customFormat="1" ht="12.75">
      <c r="A32" s="8">
        <f t="shared" si="15"/>
        <v>0.0009708113126344555</v>
      </c>
      <c r="B32" s="7">
        <v>18052209</v>
      </c>
      <c r="C32" s="8">
        <v>1935</v>
      </c>
      <c r="D32" s="8">
        <v>20.3</v>
      </c>
      <c r="E32" s="8">
        <f t="shared" si="16"/>
        <v>21.459434368277222</v>
      </c>
      <c r="F32" s="8">
        <f t="shared" si="0"/>
        <v>1.1594343682772223</v>
      </c>
      <c r="G32" s="8">
        <v>60.6</v>
      </c>
      <c r="H32" s="10">
        <f t="shared" si="1"/>
        <v>6.0599999999999996E-05</v>
      </c>
      <c r="I32" s="10">
        <f t="shared" si="2"/>
        <v>3.0299999999999998E-05</v>
      </c>
      <c r="J32" s="10">
        <f t="shared" si="3"/>
        <v>0.021041666666666667</v>
      </c>
      <c r="K32" s="8">
        <v>1</v>
      </c>
      <c r="L32" s="8">
        <f t="shared" si="4"/>
        <v>0.01</v>
      </c>
      <c r="M32" s="11">
        <f t="shared" si="17"/>
        <v>5.3339161672810344E-05</v>
      </c>
      <c r="N32" s="10">
        <f t="shared" si="18"/>
        <v>0.6021118590224431</v>
      </c>
      <c r="O32" s="8">
        <f t="shared" si="19"/>
        <v>1030.7664843575812</v>
      </c>
      <c r="P32" s="8">
        <f t="shared" si="20"/>
        <v>4185.733627694468</v>
      </c>
      <c r="Q32" s="10">
        <f t="shared" si="21"/>
        <v>1.3955496910457945E-07</v>
      </c>
      <c r="R32" s="10">
        <f t="shared" si="22"/>
        <v>0.0035475063325649467</v>
      </c>
      <c r="S32" s="12">
        <f t="shared" si="23"/>
        <v>246.23373607501216</v>
      </c>
      <c r="T32" s="13">
        <f t="shared" si="24"/>
        <v>23.701669154755486</v>
      </c>
      <c r="U32" s="13">
        <f t="shared" si="25"/>
        <v>6.3108929025248175</v>
      </c>
      <c r="V32" s="13">
        <f t="shared" si="26"/>
        <v>18.34387829100673</v>
      </c>
      <c r="W32" s="11">
        <f t="shared" si="5"/>
        <v>4.90836E-05</v>
      </c>
      <c r="X32" s="10">
        <f t="shared" si="27"/>
        <v>0.6005929999999999</v>
      </c>
      <c r="Y32" s="8">
        <f t="shared" si="6"/>
        <v>1031.8194205953137</v>
      </c>
      <c r="Z32" s="8">
        <f t="shared" si="7"/>
        <v>4185.087438260979</v>
      </c>
      <c r="AA32" s="10">
        <f t="shared" si="28"/>
        <v>1.3908235390013224E-07</v>
      </c>
      <c r="AB32" s="10">
        <f t="shared" si="8"/>
        <v>0.0035434975563996434</v>
      </c>
      <c r="AC32" s="12">
        <f t="shared" si="29"/>
        <v>245.90171610263172</v>
      </c>
      <c r="AD32" s="13">
        <f t="shared" si="30"/>
        <v>23.754247895745408</v>
      </c>
      <c r="AE32" s="13">
        <f t="shared" si="9"/>
        <v>9.864325462374277</v>
      </c>
      <c r="AF32" s="13">
        <f t="shared" si="31"/>
        <v>18.383301034886944</v>
      </c>
      <c r="AG32" s="8">
        <f t="shared" si="10"/>
        <v>0.021231231231231232</v>
      </c>
      <c r="AH32" s="8">
        <f t="shared" si="11"/>
        <v>0.020852102102102102</v>
      </c>
      <c r="AI32" s="8">
        <f t="shared" si="12"/>
        <v>0.9821428571428571</v>
      </c>
      <c r="AJ32" s="9">
        <f t="shared" si="32"/>
        <v>-12.032985388481915</v>
      </c>
      <c r="AK32" s="8">
        <v>46.497</v>
      </c>
      <c r="AL32" s="8">
        <f t="shared" si="13"/>
        <v>0.7079943013070811</v>
      </c>
      <c r="AO32" s="8">
        <f t="shared" si="14"/>
        <v>0</v>
      </c>
      <c r="AP32" s="9">
        <f t="shared" si="33"/>
        <v>-12.032985388481915</v>
      </c>
    </row>
    <row r="33" spans="1:42" s="8" customFormat="1" ht="12.75">
      <c r="A33" s="8">
        <f t="shared" si="15"/>
        <v>0.0009769276574726606</v>
      </c>
      <c r="B33" s="7">
        <v>18052217</v>
      </c>
      <c r="C33" s="8">
        <v>1985</v>
      </c>
      <c r="D33" s="8">
        <v>19.98</v>
      </c>
      <c r="E33" s="8">
        <f t="shared" si="16"/>
        <v>21.153617126366967</v>
      </c>
      <c r="F33" s="8">
        <f t="shared" si="0"/>
        <v>1.1736171263669657</v>
      </c>
      <c r="G33" s="8">
        <v>61.4</v>
      </c>
      <c r="H33" s="10">
        <f t="shared" si="1"/>
        <v>6.14E-05</v>
      </c>
      <c r="I33" s="10">
        <f t="shared" si="2"/>
        <v>3.07E-05</v>
      </c>
      <c r="J33" s="10">
        <f t="shared" si="3"/>
        <v>0.021319444444444446</v>
      </c>
      <c r="K33" s="8">
        <v>-8</v>
      </c>
      <c r="L33" s="8">
        <f t="shared" si="4"/>
        <v>-0.08</v>
      </c>
      <c r="M33" s="11">
        <f t="shared" si="17"/>
        <v>5.220625495389097E-05</v>
      </c>
      <c r="N33" s="10">
        <f t="shared" si="18"/>
        <v>0.6017112384355406</v>
      </c>
      <c r="O33" s="8">
        <f t="shared" si="19"/>
        <v>1031.0443465210396</v>
      </c>
      <c r="P33" s="8">
        <f t="shared" si="20"/>
        <v>4185.564040553008</v>
      </c>
      <c r="Q33" s="10">
        <f t="shared" si="21"/>
        <v>1.3943017956519122E-07</v>
      </c>
      <c r="R33" s="10">
        <f t="shared" si="22"/>
        <v>0.0035309802936314538</v>
      </c>
      <c r="S33" s="12">
        <f t="shared" si="23"/>
        <v>247.1890246451295</v>
      </c>
      <c r="T33" s="13">
        <f t="shared" si="24"/>
        <v>23.92723470561501</v>
      </c>
      <c r="U33" s="13">
        <f t="shared" si="25"/>
        <v>6.158494845006231</v>
      </c>
      <c r="V33" s="13">
        <f t="shared" si="26"/>
        <v>18.51300427537693</v>
      </c>
      <c r="W33" s="11">
        <f t="shared" si="5"/>
        <v>4.7928016E-05</v>
      </c>
      <c r="X33" s="10">
        <f t="shared" si="27"/>
        <v>0.6001738</v>
      </c>
      <c r="Y33" s="8">
        <f t="shared" si="6"/>
        <v>1032.109782517931</v>
      </c>
      <c r="Z33" s="8">
        <f t="shared" si="7"/>
        <v>4184.907522529962</v>
      </c>
      <c r="AA33" s="10">
        <f t="shared" si="28"/>
        <v>1.3895215062995407E-07</v>
      </c>
      <c r="AB33" s="10">
        <f t="shared" si="8"/>
        <v>0.003526940817814207</v>
      </c>
      <c r="AC33" s="12">
        <f t="shared" si="29"/>
        <v>246.85131029573986</v>
      </c>
      <c r="AD33" s="13">
        <f t="shared" si="30"/>
        <v>23.980966377570926</v>
      </c>
      <c r="AE33" s="13">
        <f t="shared" si="9"/>
        <v>9.625171667682023</v>
      </c>
      <c r="AF33" s="13">
        <f t="shared" si="31"/>
        <v>18.553291685980252</v>
      </c>
      <c r="AG33" s="8">
        <f t="shared" si="10"/>
        <v>0.022959401709401712</v>
      </c>
      <c r="AH33" s="8">
        <f t="shared" si="11"/>
        <v>0.01967948717948718</v>
      </c>
      <c r="AI33" s="8">
        <f t="shared" si="12"/>
        <v>0.8571428571428571</v>
      </c>
      <c r="AJ33" s="9">
        <f t="shared" si="32"/>
        <v>-12.354509430370697</v>
      </c>
      <c r="AK33" s="8">
        <v>64.434</v>
      </c>
      <c r="AL33" s="8">
        <f t="shared" si="13"/>
        <v>0.9940670274833789</v>
      </c>
      <c r="AO33" s="8">
        <f t="shared" si="14"/>
        <v>0</v>
      </c>
      <c r="AP33" s="9">
        <f t="shared" si="33"/>
        <v>-12.354509430370697</v>
      </c>
    </row>
    <row r="34" spans="1:42" s="8" customFormat="1" ht="12.75">
      <c r="A34" s="8">
        <f t="shared" si="15"/>
        <v>0.001042132699006056</v>
      </c>
      <c r="B34" s="7" t="s">
        <v>63</v>
      </c>
      <c r="C34" s="14">
        <v>6000</v>
      </c>
      <c r="D34" s="8">
        <v>15.3</v>
      </c>
      <c r="E34" s="8">
        <f t="shared" si="16"/>
        <v>17.8933650496972</v>
      </c>
      <c r="F34" s="8">
        <f t="shared" si="0"/>
        <v>2.5933650496971965</v>
      </c>
      <c r="G34" s="8">
        <v>83.7</v>
      </c>
      <c r="H34" s="10">
        <f t="shared" si="1"/>
        <v>8.37E-05</v>
      </c>
      <c r="I34" s="10">
        <f t="shared" si="2"/>
        <v>4.185E-05</v>
      </c>
      <c r="J34" s="10">
        <f t="shared" si="3"/>
        <v>0.0290625</v>
      </c>
      <c r="K34" s="8">
        <v>0</v>
      </c>
      <c r="L34" s="8">
        <f t="shared" si="4"/>
        <v>0</v>
      </c>
      <c r="M34" s="11">
        <f t="shared" si="17"/>
        <v>4.059363061146341E-05</v>
      </c>
      <c r="N34" s="10">
        <f t="shared" si="18"/>
        <v>0.5974403082151033</v>
      </c>
      <c r="O34" s="8">
        <f t="shared" si="19"/>
        <v>1034.0005712565344</v>
      </c>
      <c r="P34" s="8">
        <f t="shared" si="20"/>
        <v>4183.717045396046</v>
      </c>
      <c r="Q34" s="10">
        <f t="shared" si="21"/>
        <v>1.381056471031806E-07</v>
      </c>
      <c r="R34" s="10">
        <f t="shared" si="22"/>
        <v>0.0031744301237059164</v>
      </c>
      <c r="S34" s="12">
        <f t="shared" si="23"/>
        <v>272.06518556189377</v>
      </c>
      <c r="T34" s="13">
        <f t="shared" si="24"/>
        <v>29.70691514679422</v>
      </c>
      <c r="U34" s="13">
        <f t="shared" si="25"/>
        <v>7.1478467819932865</v>
      </c>
      <c r="V34" s="13">
        <f t="shared" si="26"/>
        <v>22.84677903929594</v>
      </c>
      <c r="W34" s="11">
        <f>0.00000004*D34^2+0.000002*D34-0.000008</f>
        <v>3.19636E-05</v>
      </c>
      <c r="X34" s="10">
        <f>0.574+0.00131*D34</f>
        <v>0.594043</v>
      </c>
      <c r="Y34" s="8">
        <f>10^(3+LOG10(0.3471)-(1-(D34+273.15)/(374.2+273.15))^(2/7)*LOG10(0.274))</f>
        <v>1036.3443313521543</v>
      </c>
      <c r="Z34" s="8">
        <f>4.1868*(0.6741+(0.002825*(D34+273.15))+(-0.000008371*((D34+273.15)^2))+(0.000000008601*((D34+273.15)^3)))*1000</f>
        <v>4182.193482400538</v>
      </c>
      <c r="AA34" s="10">
        <f>X34/(Y34*Z34)</f>
        <v>1.3705967118195748E-07</v>
      </c>
      <c r="AB34" s="10">
        <f t="shared" si="8"/>
        <v>0.003166396508160024</v>
      </c>
      <c r="AC34" s="12">
        <f t="shared" si="29"/>
        <v>271.23557606394536</v>
      </c>
      <c r="AD34" s="13">
        <f t="shared" si="30"/>
        <v>29.854444094900334</v>
      </c>
      <c r="AE34" s="13">
        <f t="shared" si="9"/>
        <v>10.441220928199789</v>
      </c>
      <c r="AF34" s="13">
        <f t="shared" si="31"/>
        <v>22.957405575454004</v>
      </c>
      <c r="AG34" s="8">
        <f t="shared" si="10"/>
        <v>0.0290625</v>
      </c>
      <c r="AH34" s="8">
        <f t="shared" si="11"/>
        <v>0.0290625</v>
      </c>
      <c r="AI34" s="8">
        <f t="shared" si="12"/>
        <v>1</v>
      </c>
      <c r="AJ34" s="9">
        <f t="shared" si="32"/>
        <v>-15.698932257302651</v>
      </c>
      <c r="AK34" s="8">
        <v>43.32</v>
      </c>
      <c r="AL34" s="8">
        <f t="shared" si="13"/>
        <v>0.9110581779258566</v>
      </c>
      <c r="AO34" s="8">
        <f t="shared" si="14"/>
        <v>0</v>
      </c>
      <c r="AP34" s="9">
        <f t="shared" si="33"/>
        <v>-15.698932257302651</v>
      </c>
    </row>
    <row r="35" spans="1:42" s="8" customFormat="1" ht="12.75">
      <c r="A35" s="8">
        <f t="shared" si="15"/>
        <v>0.0010442145287477853</v>
      </c>
      <c r="B35" s="7" t="s">
        <v>64</v>
      </c>
      <c r="C35" s="14">
        <v>6000</v>
      </c>
      <c r="D35" s="8">
        <v>15.3</v>
      </c>
      <c r="E35" s="8">
        <f t="shared" si="16"/>
        <v>17.789273562610738</v>
      </c>
      <c r="F35" s="8">
        <f t="shared" si="0"/>
        <v>2.4892735626107356</v>
      </c>
      <c r="G35" s="8">
        <v>87.2</v>
      </c>
      <c r="H35" s="10">
        <f t="shared" si="1"/>
        <v>8.72E-05</v>
      </c>
      <c r="I35" s="10">
        <f t="shared" si="2"/>
        <v>4.36E-05</v>
      </c>
      <c r="J35" s="10">
        <f t="shared" si="3"/>
        <v>0.030277777777777782</v>
      </c>
      <c r="K35" s="8">
        <v>-3</v>
      </c>
      <c r="L35" s="8">
        <f t="shared" si="4"/>
        <v>-0.03</v>
      </c>
      <c r="M35" s="11">
        <f t="shared" si="17"/>
        <v>4.023687728063753E-05</v>
      </c>
      <c r="N35" s="10">
        <f t="shared" si="18"/>
        <v>0.59730394836702</v>
      </c>
      <c r="O35" s="8">
        <f t="shared" si="19"/>
        <v>1034.0947760847937</v>
      </c>
      <c r="P35" s="8">
        <f t="shared" si="20"/>
        <v>4183.656852663361</v>
      </c>
      <c r="Q35" s="10">
        <f t="shared" si="21"/>
        <v>1.380635338344663E-07</v>
      </c>
      <c r="R35" s="10">
        <f t="shared" si="22"/>
        <v>0.003131063505490912</v>
      </c>
      <c r="S35" s="12">
        <f t="shared" si="23"/>
        <v>275.6342796401831</v>
      </c>
      <c r="T35" s="13">
        <f t="shared" si="24"/>
        <v>30.550733586255088</v>
      </c>
      <c r="U35" s="13">
        <f t="shared" si="25"/>
        <v>6.431689906928425</v>
      </c>
      <c r="V35" s="13">
        <f t="shared" si="26"/>
        <v>23.479530098296067</v>
      </c>
      <c r="W35" s="11">
        <f>0.00000004*D35^2+0.000002*D35-0.000008</f>
        <v>3.19636E-05</v>
      </c>
      <c r="X35" s="10">
        <f>0.574+0.00131*D35</f>
        <v>0.594043</v>
      </c>
      <c r="Y35" s="8">
        <f>10^(3+LOG10(0.3471)-(1-(D35+273.15)/(374.2+273.15))^(2/7)*LOG10(0.274))</f>
        <v>1036.3443313521543</v>
      </c>
      <c r="Z35" s="8">
        <f>4.1868*(0.6741+(0.002825*(D35+273.15))+(-0.000008371*((D35+273.15)^2))+(0.000000008601*((D35+273.15)^3)))*1000</f>
        <v>4182.193482400538</v>
      </c>
      <c r="AA35" s="10">
        <f>X35/(Y35*Z35)</f>
        <v>1.3705967118195748E-07</v>
      </c>
      <c r="AB35" s="10">
        <f t="shared" si="8"/>
        <v>0.0031234571235105686</v>
      </c>
      <c r="AC35" s="12">
        <f t="shared" si="29"/>
        <v>274.82772110214285</v>
      </c>
      <c r="AD35" s="13">
        <f t="shared" si="30"/>
        <v>30.696307119285606</v>
      </c>
      <c r="AE35" s="13">
        <f t="shared" si="9"/>
        <v>9.619870623853206</v>
      </c>
      <c r="AF35" s="13">
        <f t="shared" si="31"/>
        <v>23.58869141867701</v>
      </c>
      <c r="AG35" s="8">
        <f t="shared" si="10"/>
        <v>0.031111111111111117</v>
      </c>
      <c r="AH35" s="8">
        <f t="shared" si="11"/>
        <v>0.02944444444444445</v>
      </c>
      <c r="AI35" s="8">
        <f t="shared" si="12"/>
        <v>0.9464285714285714</v>
      </c>
      <c r="AJ35" s="9">
        <f t="shared" si="32"/>
        <v>-17.04784019136764</v>
      </c>
      <c r="AK35" s="8">
        <v>43.57</v>
      </c>
      <c r="AL35" s="8">
        <f t="shared" si="13"/>
        <v>0.9546325750152015</v>
      </c>
      <c r="AO35" s="8">
        <f t="shared" si="14"/>
        <v>0</v>
      </c>
      <c r="AP35" s="9">
        <f t="shared" si="33"/>
        <v>-17.04784019136764</v>
      </c>
    </row>
    <row r="36" spans="1:42" s="8" customFormat="1" ht="12.75">
      <c r="A36" s="8">
        <f t="shared" si="15"/>
        <v>0.000988</v>
      </c>
      <c r="B36" s="7">
        <v>21051832</v>
      </c>
      <c r="C36" s="8">
        <v>0</v>
      </c>
      <c r="D36" s="8">
        <v>20.6</v>
      </c>
      <c r="E36" s="8">
        <f t="shared" si="16"/>
        <v>20.6</v>
      </c>
      <c r="F36" s="8">
        <f t="shared" si="0"/>
        <v>0</v>
      </c>
      <c r="G36" s="8">
        <v>30</v>
      </c>
      <c r="H36" s="10">
        <f t="shared" si="1"/>
        <v>2.9999999999999997E-05</v>
      </c>
      <c r="I36" s="10">
        <f t="shared" si="2"/>
        <v>1.4999999999999999E-05</v>
      </c>
      <c r="J36" s="10">
        <f t="shared" si="3"/>
        <v>0.010416666666666666</v>
      </c>
      <c r="K36" s="8">
        <v>0</v>
      </c>
      <c r="L36" s="8">
        <f t="shared" si="4"/>
        <v>0</v>
      </c>
      <c r="M36" s="11">
        <f t="shared" si="17"/>
        <v>5.0174400000000005E-05</v>
      </c>
      <c r="N36" s="10">
        <f t="shared" si="18"/>
        <v>0.6009859999999999</v>
      </c>
      <c r="O36" s="8">
        <f t="shared" si="19"/>
        <v>1031.547110181768</v>
      </c>
      <c r="P36" s="8">
        <f t="shared" si="20"/>
        <v>4185.255486822362</v>
      </c>
      <c r="Q36" s="10">
        <f t="shared" si="21"/>
        <v>1.3920451259419534E-07</v>
      </c>
      <c r="R36" s="10">
        <f t="shared" si="22"/>
        <v>0.004480565497161641</v>
      </c>
      <c r="S36" s="12">
        <f t="shared" si="23"/>
        <v>195.9412078688934</v>
      </c>
      <c r="T36" s="13">
        <f>H36*O36*P36/(S36*b*l)</f>
        <v>14.754636039445307</v>
      </c>
      <c r="U36" s="13">
        <f t="shared" si="25"/>
        <v>0</v>
      </c>
      <c r="V36" s="13">
        <f>1/((2+T36)*(1-T36/2*(1-EXP(-2/T36)))-1)</f>
        <v>11.636696349274171</v>
      </c>
      <c r="W36" s="11">
        <f>0.00000004*D36^2+0.000002*D36-0.000008</f>
        <v>5.0174400000000005E-05</v>
      </c>
      <c r="X36" s="10">
        <f>0.574+0.00131*D36</f>
        <v>0.6009859999999999</v>
      </c>
      <c r="Y36" s="8">
        <f>10^(3+LOG10(0.3471)-(1-(D36+273.15)/(374.2+273.15))^(2/7)*LOG10(0.274))</f>
        <v>1031.547110181768</v>
      </c>
      <c r="Z36" s="8">
        <f>4.1868*(0.6741+(0.002825*(D36+273.15))+(-0.000008371*((D36+273.15)^2))+(0.000000008601*((D36+273.15)^3)))*1000</f>
        <v>4185.255486822362</v>
      </c>
      <c r="AA36" s="10">
        <f>X36/(Y36*Z36)</f>
        <v>1.3920451259419534E-07</v>
      </c>
      <c r="AB36" s="10">
        <f t="shared" si="8"/>
        <v>0.004480565497161641</v>
      </c>
      <c r="AC36" s="12">
        <f t="shared" si="29"/>
        <v>195.9412078688934</v>
      </c>
      <c r="AD36" s="13">
        <f t="shared" si="30"/>
        <v>14.754636039445307</v>
      </c>
      <c r="AE36" s="13">
        <f t="shared" si="9"/>
        <v>0</v>
      </c>
      <c r="AF36" s="13">
        <f t="shared" si="31"/>
        <v>11.636696349274171</v>
      </c>
      <c r="AG36" s="8">
        <f t="shared" si="10"/>
        <v>0.010416666666666666</v>
      </c>
      <c r="AH36" s="8">
        <f t="shared" si="11"/>
        <v>0.010416666666666666</v>
      </c>
      <c r="AI36" s="8">
        <f t="shared" si="12"/>
        <v>1</v>
      </c>
      <c r="AJ36" s="9">
        <f t="shared" si="32"/>
        <v>-11.636696349274171</v>
      </c>
      <c r="AK36" s="15">
        <v>89.82</v>
      </c>
      <c r="AL36" s="8">
        <f>AK36/(v/H36)</f>
        <v>0.677058992024845</v>
      </c>
      <c r="AO36" s="8">
        <f>AM36/(v/H36)</f>
        <v>0</v>
      </c>
      <c r="AP36" s="9">
        <f t="shared" si="33"/>
        <v>-11.636696349274171</v>
      </c>
    </row>
    <row r="37" spans="1:42" s="8" customFormat="1" ht="12.75">
      <c r="A37" s="8">
        <f t="shared" si="15"/>
        <v>0.000982</v>
      </c>
      <c r="B37" s="7">
        <v>21051832</v>
      </c>
      <c r="C37" s="8">
        <v>0</v>
      </c>
      <c r="D37" s="8">
        <v>20.9</v>
      </c>
      <c r="E37" s="8">
        <f t="shared" si="16"/>
        <v>20.9</v>
      </c>
      <c r="F37" s="8">
        <f t="shared" si="0"/>
        <v>0</v>
      </c>
      <c r="G37" s="8">
        <v>30.4</v>
      </c>
      <c r="H37" s="10">
        <f t="shared" si="1"/>
        <v>3.0399999999999997E-05</v>
      </c>
      <c r="I37" s="10">
        <f t="shared" si="2"/>
        <v>1.5199999999999998E-05</v>
      </c>
      <c r="J37" s="10">
        <f t="shared" si="3"/>
        <v>0.010555555555555556</v>
      </c>
      <c r="K37" s="8">
        <v>0</v>
      </c>
      <c r="L37" s="8">
        <f t="shared" si="4"/>
        <v>0</v>
      </c>
      <c r="M37" s="11">
        <f t="shared" si="17"/>
        <v>5.1272399999999994E-05</v>
      </c>
      <c r="N37" s="10">
        <f t="shared" si="18"/>
        <v>0.601379</v>
      </c>
      <c r="O37" s="8">
        <f t="shared" si="19"/>
        <v>1031.2747066264806</v>
      </c>
      <c r="P37" s="8">
        <f t="shared" si="20"/>
        <v>4185.422938989264</v>
      </c>
      <c r="Q37" s="10">
        <f t="shared" si="21"/>
        <v>1.393267613744448E-07</v>
      </c>
      <c r="R37" s="10">
        <f t="shared" si="22"/>
        <v>0.004462134350785641</v>
      </c>
      <c r="S37" s="12">
        <f t="shared" si="23"/>
        <v>196.8545962314925</v>
      </c>
      <c r="T37" s="13">
        <f t="shared" si="24"/>
        <v>14.878656819139835</v>
      </c>
      <c r="U37" s="13">
        <f t="shared" si="25"/>
        <v>0</v>
      </c>
      <c r="V37" s="13">
        <f t="shared" si="26"/>
        <v>11.729643769939846</v>
      </c>
      <c r="W37" s="11">
        <f t="shared" si="5"/>
        <v>5.1272399999999994E-05</v>
      </c>
      <c r="X37" s="10">
        <f t="shared" si="27"/>
        <v>0.601379</v>
      </c>
      <c r="Y37" s="8">
        <f t="shared" si="6"/>
        <v>1031.2747066264806</v>
      </c>
      <c r="Z37" s="8">
        <f t="shared" si="7"/>
        <v>4185.422938989264</v>
      </c>
      <c r="AA37" s="10">
        <f t="shared" si="28"/>
        <v>1.393267613744448E-07</v>
      </c>
      <c r="AB37" s="10">
        <f t="shared" si="8"/>
        <v>0.004462134350785641</v>
      </c>
      <c r="AC37" s="12">
        <f t="shared" si="29"/>
        <v>196.8545962314925</v>
      </c>
      <c r="AD37" s="13">
        <f t="shared" si="30"/>
        <v>14.878656819139835</v>
      </c>
      <c r="AE37" s="13">
        <f t="shared" si="9"/>
        <v>0</v>
      </c>
      <c r="AF37" s="13">
        <f t="shared" si="31"/>
        <v>11.729643769939846</v>
      </c>
      <c r="AG37" s="8">
        <f t="shared" si="10"/>
        <v>0.010555555555555556</v>
      </c>
      <c r="AH37" s="8">
        <f t="shared" si="11"/>
        <v>0.010555555555555556</v>
      </c>
      <c r="AI37" s="8">
        <f t="shared" si="12"/>
        <v>1</v>
      </c>
      <c r="AJ37" s="9">
        <f t="shared" si="32"/>
        <v>-11.729643769939846</v>
      </c>
      <c r="AK37" s="8">
        <v>110.925</v>
      </c>
      <c r="AL37" s="8">
        <f t="shared" si="13"/>
        <v>0.8472961360449863</v>
      </c>
      <c r="AO37" s="8">
        <f t="shared" si="14"/>
        <v>0</v>
      </c>
      <c r="AP37" s="9">
        <f t="shared" si="33"/>
        <v>-11.729643769939846</v>
      </c>
    </row>
    <row r="38" spans="1:42" s="8" customFormat="1" ht="12.75">
      <c r="A38" s="8">
        <f t="shared" si="15"/>
        <v>0.0010518684714576534</v>
      </c>
      <c r="B38" s="7" t="s">
        <v>59</v>
      </c>
      <c r="C38" s="8">
        <v>5075</v>
      </c>
      <c r="D38" s="8">
        <v>15.2</v>
      </c>
      <c r="E38" s="8">
        <f t="shared" si="16"/>
        <v>17.40657642711733</v>
      </c>
      <c r="F38" s="8">
        <f t="shared" si="0"/>
        <v>2.2065764271173296</v>
      </c>
      <c r="G38" s="8">
        <v>83.2</v>
      </c>
      <c r="H38" s="10">
        <f t="shared" si="1"/>
        <v>8.32E-05</v>
      </c>
      <c r="I38" s="10">
        <f t="shared" si="2"/>
        <v>4.16E-05</v>
      </c>
      <c r="J38" s="10">
        <f t="shared" si="3"/>
        <v>0.02888888888888889</v>
      </c>
      <c r="K38" s="8">
        <v>5</v>
      </c>
      <c r="L38" s="8">
        <f t="shared" si="4"/>
        <v>0.05</v>
      </c>
      <c r="M38" s="11">
        <f t="shared" si="17"/>
        <v>3.8932708970757724E-05</v>
      </c>
      <c r="N38" s="10">
        <f t="shared" si="18"/>
        <v>0.5968026151195237</v>
      </c>
      <c r="O38" s="8">
        <f t="shared" si="19"/>
        <v>1034.4410293385401</v>
      </c>
      <c r="P38" s="8">
        <f t="shared" si="20"/>
        <v>4183.434875635369</v>
      </c>
      <c r="Q38" s="10">
        <f t="shared" si="21"/>
        <v>1.3790879605992684E-07</v>
      </c>
      <c r="R38" s="10">
        <f t="shared" si="22"/>
        <v>0.003179264003427078</v>
      </c>
      <c r="S38" s="12">
        <f t="shared" si="23"/>
        <v>271.38703283772736</v>
      </c>
      <c r="T38" s="13">
        <f t="shared" si="24"/>
        <v>29.613856658486494</v>
      </c>
      <c r="U38" s="13">
        <f t="shared" si="25"/>
        <v>5.901043061577366</v>
      </c>
      <c r="V38" s="13">
        <f t="shared" si="26"/>
        <v>22.776998002185852</v>
      </c>
      <c r="W38" s="11">
        <f t="shared" si="5"/>
        <v>3.16416E-05</v>
      </c>
      <c r="X38" s="10">
        <f t="shared" si="27"/>
        <v>0.593912</v>
      </c>
      <c r="Y38" s="8">
        <f t="shared" si="6"/>
        <v>1036.4345700434894</v>
      </c>
      <c r="Z38" s="8">
        <f t="shared" si="7"/>
        <v>4182.13371147912</v>
      </c>
      <c r="AA38" s="10">
        <f t="shared" si="28"/>
        <v>1.3701947398626636E-07</v>
      </c>
      <c r="AB38" s="10">
        <f t="shared" si="8"/>
        <v>0.003172415984657369</v>
      </c>
      <c r="AC38" s="12">
        <f t="shared" si="29"/>
        <v>270.6819510343021</v>
      </c>
      <c r="AD38" s="13">
        <f t="shared" si="30"/>
        <v>29.738962857786564</v>
      </c>
      <c r="AE38" s="13">
        <f t="shared" si="9"/>
        <v>8.847958840828401</v>
      </c>
      <c r="AF38" s="13">
        <f t="shared" si="31"/>
        <v>22.870810422962148</v>
      </c>
      <c r="AG38" s="8">
        <f t="shared" si="10"/>
        <v>0.03023883696780894</v>
      </c>
      <c r="AH38" s="8">
        <f t="shared" si="11"/>
        <v>0.027538940809968854</v>
      </c>
      <c r="AI38" s="8">
        <f t="shared" si="12"/>
        <v>0.9107142857142857</v>
      </c>
      <c r="AJ38" s="9">
        <f t="shared" si="32"/>
        <v>-16.875954940608487</v>
      </c>
      <c r="AK38" s="8">
        <v>43.449</v>
      </c>
      <c r="AL38" s="8">
        <f t="shared" si="13"/>
        <v>0.9083125537079193</v>
      </c>
      <c r="AO38" s="8">
        <f t="shared" si="14"/>
        <v>0</v>
      </c>
      <c r="AP38" s="9">
        <f t="shared" si="33"/>
        <v>-16.875954940608487</v>
      </c>
    </row>
    <row r="39" spans="1:42" s="8" customFormat="1" ht="12.75">
      <c r="A39" s="8">
        <f t="shared" si="15"/>
        <v>0.0010518822727751138</v>
      </c>
      <c r="B39" s="7" t="s">
        <v>60</v>
      </c>
      <c r="C39" s="8">
        <v>5110</v>
      </c>
      <c r="D39" s="8">
        <v>15.2</v>
      </c>
      <c r="E39" s="8">
        <f t="shared" si="16"/>
        <v>17.40588636124431</v>
      </c>
      <c r="F39" s="8">
        <f t="shared" si="0"/>
        <v>2.205886361244311</v>
      </c>
      <c r="G39" s="8">
        <v>83.8</v>
      </c>
      <c r="H39" s="10">
        <f t="shared" si="1"/>
        <v>8.379999999999999E-05</v>
      </c>
      <c r="I39" s="10">
        <f t="shared" si="2"/>
        <v>4.1899999999999995E-05</v>
      </c>
      <c r="J39" s="10">
        <f t="shared" si="3"/>
        <v>0.029097222222222222</v>
      </c>
      <c r="K39" s="8">
        <v>0</v>
      </c>
      <c r="L39" s="8">
        <f t="shared" si="4"/>
        <v>0</v>
      </c>
      <c r="M39" s="11">
        <f t="shared" si="17"/>
        <v>3.893036792331065E-05</v>
      </c>
      <c r="N39" s="10">
        <f t="shared" si="18"/>
        <v>0.59680171113323</v>
      </c>
      <c r="O39" s="8">
        <f t="shared" si="19"/>
        <v>1034.4416535551072</v>
      </c>
      <c r="P39" s="8">
        <f t="shared" si="20"/>
        <v>4183.434474410074</v>
      </c>
      <c r="Q39" s="10">
        <f t="shared" si="21"/>
        <v>1.3790851717521429E-07</v>
      </c>
      <c r="R39" s="10">
        <f t="shared" si="22"/>
        <v>0.003171656701568755</v>
      </c>
      <c r="S39" s="12">
        <f t="shared" si="23"/>
        <v>272.0139564113113</v>
      </c>
      <c r="T39" s="13">
        <f t="shared" si="24"/>
        <v>29.758688551102175</v>
      </c>
      <c r="U39" s="13">
        <f t="shared" si="25"/>
        <v>5.840997654673137</v>
      </c>
      <c r="V39" s="13">
        <f t="shared" si="26"/>
        <v>22.885601989679685</v>
      </c>
      <c r="W39" s="11">
        <f>0.00000004*D39^2+0.000002*D39-0.000008</f>
        <v>3.16416E-05</v>
      </c>
      <c r="X39" s="10">
        <f>0.574+0.00131*D39</f>
        <v>0.593912</v>
      </c>
      <c r="Y39" s="8">
        <f>10^(3+LOG10(0.3471)-(1-(D39+273.15)/(374.2+273.15))^(2/7)*LOG10(0.274))</f>
        <v>1036.4345700434894</v>
      </c>
      <c r="Z39" s="8">
        <f>4.1868*(0.6741+(0.002825*(D39+273.15))+(-0.000008371*((D39+273.15)^2))+(0.000000008601*((D39+273.15)^3)))*1000</f>
        <v>4182.13371147912</v>
      </c>
      <c r="AA39" s="10">
        <f>X39/(Y39*Z39)</f>
        <v>1.3701947398626636E-07</v>
      </c>
      <c r="AB39" s="10">
        <f t="shared" si="8"/>
        <v>0.0031648272017849774</v>
      </c>
      <c r="AC39" s="12">
        <f t="shared" si="29"/>
        <v>271.30752678872733</v>
      </c>
      <c r="AD39" s="13">
        <f t="shared" si="30"/>
        <v>29.88436048891329</v>
      </c>
      <c r="AE39" s="13">
        <f t="shared" si="9"/>
        <v>8.78186107680134</v>
      </c>
      <c r="AF39" s="13">
        <f t="shared" si="31"/>
        <v>22.97983880403537</v>
      </c>
      <c r="AG39" s="8">
        <f t="shared" si="10"/>
        <v>0.029097222222222222</v>
      </c>
      <c r="AH39" s="8">
        <f t="shared" si="11"/>
        <v>0.029097222222222222</v>
      </c>
      <c r="AI39" s="8">
        <f t="shared" si="12"/>
        <v>1</v>
      </c>
      <c r="AJ39" s="9">
        <f t="shared" si="32"/>
        <v>-17.044604335006547</v>
      </c>
      <c r="AK39" s="8">
        <v>51.382</v>
      </c>
      <c r="AL39" s="8">
        <f t="shared" si="13"/>
        <v>1.0819002678486176</v>
      </c>
      <c r="AO39" s="8">
        <f t="shared" si="14"/>
        <v>0</v>
      </c>
      <c r="AP39" s="9">
        <f t="shared" si="33"/>
        <v>-17.044604335006547</v>
      </c>
    </row>
    <row r="40" spans="1:42" s="8" customFormat="1" ht="12.75">
      <c r="A40" s="8">
        <f t="shared" si="15"/>
        <v>0.0010607929869885153</v>
      </c>
      <c r="B40" s="7" t="s">
        <v>56</v>
      </c>
      <c r="C40" s="8">
        <v>3955</v>
      </c>
      <c r="D40" s="8">
        <v>15.1</v>
      </c>
      <c r="E40" s="8">
        <f t="shared" si="16"/>
        <v>16.960350650574235</v>
      </c>
      <c r="F40" s="8">
        <f aca="true" t="shared" si="34" ref="F40:F67">(C40/b*l/AC40/AD40)*((AD40/2-(AD40/2*(1-(AD40/2)))-(AD40/2)^2)*(1-EXP(-2/AD40))+0.5)</f>
        <v>1.8603506505742333</v>
      </c>
      <c r="G40" s="8">
        <v>76.9</v>
      </c>
      <c r="H40" s="10">
        <f t="shared" si="1"/>
        <v>7.69E-05</v>
      </c>
      <c r="I40" s="10">
        <f t="shared" si="2"/>
        <v>3.845E-05</v>
      </c>
      <c r="J40" s="10">
        <f t="shared" si="3"/>
        <v>0.026701388888888893</v>
      </c>
      <c r="K40" s="8">
        <v>-2</v>
      </c>
      <c r="L40" s="8">
        <f t="shared" si="4"/>
        <v>-0.02</v>
      </c>
      <c r="M40" s="11">
        <f t="shared" si="17"/>
        <v>3.7426841068765825E-05</v>
      </c>
      <c r="N40" s="10">
        <f t="shared" si="18"/>
        <v>0.5962180593522522</v>
      </c>
      <c r="O40" s="8">
        <f t="shared" si="19"/>
        <v>1034.8445728542808</v>
      </c>
      <c r="P40" s="8">
        <f t="shared" si="20"/>
        <v>4183.174695888125</v>
      </c>
      <c r="Q40" s="10">
        <f t="shared" si="21"/>
        <v>1.377285573469091E-07</v>
      </c>
      <c r="R40" s="10">
        <f t="shared" si="22"/>
        <v>0.003262384495893294</v>
      </c>
      <c r="S40" s="12">
        <f t="shared" si="23"/>
        <v>264.46642283790123</v>
      </c>
      <c r="T40" s="13">
        <f t="shared" si="24"/>
        <v>28.096932812425894</v>
      </c>
      <c r="U40" s="13">
        <f t="shared" si="25"/>
        <v>5.33970446725441</v>
      </c>
      <c r="V40" s="13">
        <f t="shared" si="26"/>
        <v>21.639526192929964</v>
      </c>
      <c r="W40" s="11">
        <f t="shared" si="5"/>
        <v>3.13204E-05</v>
      </c>
      <c r="X40" s="10">
        <f t="shared" si="27"/>
        <v>0.593781</v>
      </c>
      <c r="Y40" s="8">
        <f t="shared" si="6"/>
        <v>1036.5247986373374</v>
      </c>
      <c r="Z40" s="8">
        <f t="shared" si="7"/>
        <v>4182.073862624193</v>
      </c>
      <c r="AA40" s="10">
        <f t="shared" si="28"/>
        <v>1.3697928686882147E-07</v>
      </c>
      <c r="AB40" s="10">
        <f aca="true" t="shared" si="35" ref="AB40:AB67">(2*AA40*h*l/3/J40)^0.3333</f>
        <v>0.0032564583226804625</v>
      </c>
      <c r="AC40" s="12">
        <f t="shared" si="29"/>
        <v>263.885893478754</v>
      </c>
      <c r="AD40" s="13">
        <f t="shared" si="30"/>
        <v>28.197041719731864</v>
      </c>
      <c r="AE40" s="13">
        <f aca="true" t="shared" si="36" ref="AE40:AE67">9.81*W40*C40*b*h^3/(12*H40^2)</f>
        <v>7.989440591910795</v>
      </c>
      <c r="AF40" s="13">
        <f t="shared" si="31"/>
        <v>21.714592552466236</v>
      </c>
      <c r="AG40" s="8">
        <f t="shared" si="10"/>
        <v>0.027186868686868686</v>
      </c>
      <c r="AH40" s="8">
        <f aca="true" t="shared" si="37" ref="AH40:AH67">(l-ABS(L40))/l*AG40</f>
        <v>0.026215909090909092</v>
      </c>
      <c r="AI40" s="8">
        <f t="shared" si="12"/>
        <v>0.9642857142857143</v>
      </c>
      <c r="AJ40" s="9">
        <f t="shared" si="32"/>
        <v>-16.299821725675553</v>
      </c>
      <c r="AK40" s="8">
        <v>49.568</v>
      </c>
      <c r="AL40" s="8">
        <f t="shared" si="13"/>
        <v>0.9577671576387108</v>
      </c>
      <c r="AM40" s="8">
        <v>50.424</v>
      </c>
      <c r="AN40" s="8">
        <v>33.13</v>
      </c>
      <c r="AO40" s="8">
        <f t="shared" si="14"/>
        <v>0.9743070359258869</v>
      </c>
      <c r="AP40" s="9">
        <f t="shared" si="33"/>
        <v>-16.299821725675553</v>
      </c>
    </row>
    <row r="41" spans="1:43" s="8" customFormat="1" ht="12.75">
      <c r="A41" s="8">
        <f t="shared" si="15"/>
        <v>0.0009559330357136888</v>
      </c>
      <c r="B41" s="7">
        <v>18052137</v>
      </c>
      <c r="C41" s="8">
        <v>996</v>
      </c>
      <c r="D41" s="8">
        <v>21.6</v>
      </c>
      <c r="E41" s="8">
        <f t="shared" si="16"/>
        <v>22.203348214315557</v>
      </c>
      <c r="F41" s="8">
        <f t="shared" si="34"/>
        <v>0.6033482143155552</v>
      </c>
      <c r="G41" s="8">
        <v>60</v>
      </c>
      <c r="H41" s="10">
        <f t="shared" si="1"/>
        <v>5.9999999999999995E-05</v>
      </c>
      <c r="I41" s="10">
        <f t="shared" si="2"/>
        <v>2.9999999999999997E-05</v>
      </c>
      <c r="J41" s="10">
        <f t="shared" si="3"/>
        <v>0.020833333333333332</v>
      </c>
      <c r="K41" s="8">
        <v>2</v>
      </c>
      <c r="L41" s="8">
        <f t="shared" si="4"/>
        <v>0.02</v>
      </c>
      <c r="M41" s="11">
        <f t="shared" si="17"/>
        <v>5.612624330567711E-05</v>
      </c>
      <c r="N41" s="10">
        <f t="shared" si="18"/>
        <v>0.6030863861607534</v>
      </c>
      <c r="O41" s="8">
        <f t="shared" si="19"/>
        <v>1030.090166507606</v>
      </c>
      <c r="P41" s="8">
        <f t="shared" si="20"/>
        <v>4186.143653284575</v>
      </c>
      <c r="Q41" s="10">
        <f t="shared" si="21"/>
        <v>1.3985891540717704E-07</v>
      </c>
      <c r="R41" s="10">
        <f t="shared" si="22"/>
        <v>0.003561872849598109</v>
      </c>
      <c r="S41" s="12">
        <f t="shared" si="23"/>
        <v>245.65702774057374</v>
      </c>
      <c r="T41" s="13">
        <f t="shared" si="24"/>
        <v>23.508959751825575</v>
      </c>
      <c r="U41" s="13">
        <f t="shared" si="25"/>
        <v>3.481484417276457</v>
      </c>
      <c r="V41" s="13">
        <f t="shared" si="26"/>
        <v>18.19938812980882</v>
      </c>
      <c r="W41" s="11">
        <f t="shared" si="5"/>
        <v>5.38624E-05</v>
      </c>
      <c r="X41" s="10">
        <f t="shared" si="27"/>
        <v>0.6022959999999999</v>
      </c>
      <c r="Y41" s="8">
        <f t="shared" si="6"/>
        <v>1030.6387353908517</v>
      </c>
      <c r="Z41" s="8">
        <f t="shared" si="7"/>
        <v>4185.8113741698635</v>
      </c>
      <c r="AA41" s="10">
        <f t="shared" si="28"/>
        <v>1.3961235865249316E-07</v>
      </c>
      <c r="AB41" s="10">
        <f t="shared" si="35"/>
        <v>0.003559778757065934</v>
      </c>
      <c r="AC41" s="12">
        <f t="shared" si="29"/>
        <v>245.48521333122432</v>
      </c>
      <c r="AD41" s="13">
        <f t="shared" si="30"/>
        <v>23.536073590442257</v>
      </c>
      <c r="AE41" s="13">
        <f t="shared" si="36"/>
        <v>5.683787100979201</v>
      </c>
      <c r="AF41" s="13">
        <f t="shared" si="31"/>
        <v>18.219717573451952</v>
      </c>
      <c r="AG41" s="8">
        <f t="shared" si="10"/>
        <v>0.02121212121212121</v>
      </c>
      <c r="AH41" s="8">
        <f t="shared" si="37"/>
        <v>0.020454545454545454</v>
      </c>
      <c r="AI41" s="8">
        <f t="shared" si="12"/>
        <v>0.9642857142857144</v>
      </c>
      <c r="AJ41" s="9">
        <f t="shared" si="32"/>
        <v>-14.717903712532364</v>
      </c>
      <c r="AK41" s="8">
        <v>58.171</v>
      </c>
      <c r="AL41" s="8">
        <f t="shared" si="13"/>
        <v>0.8769805973074429</v>
      </c>
      <c r="AO41" s="8">
        <f t="shared" si="14"/>
        <v>0</v>
      </c>
      <c r="AP41" s="9">
        <f t="shared" si="33"/>
        <v>-14.717903712532364</v>
      </c>
      <c r="AQ41" s="8">
        <v>0.9941542288557214</v>
      </c>
    </row>
    <row r="42" spans="1:43" s="8" customFormat="1" ht="12.75">
      <c r="A42" s="8">
        <f t="shared" si="15"/>
        <v>0.0009542489819274584</v>
      </c>
      <c r="B42" s="7">
        <v>18052126</v>
      </c>
      <c r="C42" s="8">
        <v>965</v>
      </c>
      <c r="D42" s="8">
        <v>21.7</v>
      </c>
      <c r="E42" s="8">
        <f t="shared" si="16"/>
        <v>22.28755090362708</v>
      </c>
      <c r="F42" s="8">
        <f t="shared" si="34"/>
        <v>0.5875509036270777</v>
      </c>
      <c r="G42" s="8">
        <v>59.7</v>
      </c>
      <c r="H42" s="10">
        <f t="shared" si="1"/>
        <v>5.97E-05</v>
      </c>
      <c r="I42" s="10">
        <f t="shared" si="2"/>
        <v>2.985E-05</v>
      </c>
      <c r="J42" s="10">
        <f t="shared" si="3"/>
        <v>0.02072916666666667</v>
      </c>
      <c r="K42" s="8">
        <v>0</v>
      </c>
      <c r="L42" s="8">
        <f t="shared" si="4"/>
        <v>0</v>
      </c>
      <c r="M42" s="11">
        <f t="shared" si="17"/>
        <v>5.644449881852488E-05</v>
      </c>
      <c r="N42" s="10">
        <f t="shared" si="18"/>
        <v>0.6031966916837515</v>
      </c>
      <c r="O42" s="8">
        <f t="shared" si="19"/>
        <v>1030.0135786133012</v>
      </c>
      <c r="P42" s="8">
        <f t="shared" si="20"/>
        <v>4186.1898429607645</v>
      </c>
      <c r="Q42" s="10">
        <f t="shared" si="21"/>
        <v>1.3989335354392274E-07</v>
      </c>
      <c r="R42" s="10">
        <f t="shared" si="22"/>
        <v>0.003568121361585671</v>
      </c>
      <c r="S42" s="12">
        <f t="shared" si="23"/>
        <v>245.28428681878333</v>
      </c>
      <c r="T42" s="13">
        <f t="shared" si="24"/>
        <v>23.425477869407526</v>
      </c>
      <c r="U42" s="13">
        <f t="shared" si="25"/>
        <v>3.4300511192638528</v>
      </c>
      <c r="V42" s="13">
        <f t="shared" si="26"/>
        <v>18.136795078480507</v>
      </c>
      <c r="W42" s="11">
        <f t="shared" si="5"/>
        <v>5.423559999999999E-05</v>
      </c>
      <c r="X42" s="10">
        <f t="shared" si="27"/>
        <v>0.6024269999999999</v>
      </c>
      <c r="Y42" s="8">
        <f t="shared" si="6"/>
        <v>1030.5478408083309</v>
      </c>
      <c r="Z42" s="8">
        <f t="shared" si="7"/>
        <v>4185.866606759782</v>
      </c>
      <c r="AA42" s="10">
        <f t="shared" si="28"/>
        <v>1.396531982572113E-07</v>
      </c>
      <c r="AB42" s="10">
        <f t="shared" si="35"/>
        <v>0.0035660785952221995</v>
      </c>
      <c r="AC42" s="12">
        <f t="shared" si="29"/>
        <v>245.11726940617913</v>
      </c>
      <c r="AD42" s="13">
        <f t="shared" si="30"/>
        <v>23.451787439363688</v>
      </c>
      <c r="AE42" s="13">
        <f t="shared" si="36"/>
        <v>5.600907029208352</v>
      </c>
      <c r="AF42" s="13">
        <f t="shared" si="31"/>
        <v>18.156521455526235</v>
      </c>
      <c r="AG42" s="8">
        <f t="shared" si="10"/>
        <v>0.02072916666666667</v>
      </c>
      <c r="AH42" s="8">
        <f t="shared" si="37"/>
        <v>0.02072916666666667</v>
      </c>
      <c r="AI42" s="8">
        <f t="shared" si="12"/>
        <v>1</v>
      </c>
      <c r="AJ42" s="9">
        <f t="shared" si="32"/>
        <v>-14.706743959216654</v>
      </c>
      <c r="AK42" s="8">
        <v>74.742</v>
      </c>
      <c r="AL42" s="8">
        <f t="shared" si="13"/>
        <v>1.1211694381209392</v>
      </c>
      <c r="AO42" s="8">
        <f t="shared" si="14"/>
        <v>0</v>
      </c>
      <c r="AP42" s="9">
        <f t="shared" si="33"/>
        <v>-14.706743959216654</v>
      </c>
      <c r="AQ42" s="8">
        <v>0.9941542288557214</v>
      </c>
    </row>
    <row r="43" spans="1:42" s="8" customFormat="1" ht="12.75">
      <c r="A43" s="8">
        <f t="shared" si="15"/>
        <v>0.0010607639341412914</v>
      </c>
      <c r="B43" s="7" t="s">
        <v>57</v>
      </c>
      <c r="C43" s="8">
        <v>4025</v>
      </c>
      <c r="D43" s="8">
        <v>15.1</v>
      </c>
      <c r="E43" s="8">
        <f t="shared" si="16"/>
        <v>16.961803292935425</v>
      </c>
      <c r="F43" s="8">
        <f t="shared" si="34"/>
        <v>1.8618032929354245</v>
      </c>
      <c r="G43" s="8">
        <v>78.2</v>
      </c>
      <c r="H43" s="10">
        <f t="shared" si="1"/>
        <v>7.82E-05</v>
      </c>
      <c r="I43" s="10">
        <f t="shared" si="2"/>
        <v>3.91E-05</v>
      </c>
      <c r="J43" s="10">
        <f t="shared" si="3"/>
        <v>0.027152777777777783</v>
      </c>
      <c r="K43" s="8">
        <v>5</v>
      </c>
      <c r="L43" s="8">
        <f t="shared" si="4"/>
        <v>0.05</v>
      </c>
      <c r="M43" s="11">
        <f t="shared" si="17"/>
        <v>3.743171742380025E-05</v>
      </c>
      <c r="N43" s="10">
        <f t="shared" si="18"/>
        <v>0.5962199623137454</v>
      </c>
      <c r="O43" s="8">
        <f t="shared" si="19"/>
        <v>1034.8432594886879</v>
      </c>
      <c r="P43" s="8">
        <f t="shared" si="20"/>
        <v>4183.175545261013</v>
      </c>
      <c r="Q43" s="10">
        <f t="shared" si="21"/>
        <v>1.3772914377076384E-07</v>
      </c>
      <c r="R43" s="10">
        <f t="shared" si="22"/>
        <v>0.0032442117961680233</v>
      </c>
      <c r="S43" s="12">
        <f t="shared" si="23"/>
        <v>265.8961495773639</v>
      </c>
      <c r="T43" s="13">
        <f t="shared" si="24"/>
        <v>28.418251657992208</v>
      </c>
      <c r="U43" s="13">
        <f t="shared" si="25"/>
        <v>5.224652979624454</v>
      </c>
      <c r="V43" s="13">
        <f t="shared" si="26"/>
        <v>21.88046653334873</v>
      </c>
      <c r="W43" s="11">
        <f t="shared" si="5"/>
        <v>3.13204E-05</v>
      </c>
      <c r="X43" s="10">
        <f t="shared" si="27"/>
        <v>0.593781</v>
      </c>
      <c r="Y43" s="8">
        <f t="shared" si="6"/>
        <v>1036.5247986373374</v>
      </c>
      <c r="Z43" s="8">
        <f t="shared" si="7"/>
        <v>4182.073862624193</v>
      </c>
      <c r="AA43" s="10">
        <f t="shared" si="28"/>
        <v>1.3697928686882147E-07</v>
      </c>
      <c r="AB43" s="10">
        <f t="shared" si="35"/>
        <v>0.0032383140383625032</v>
      </c>
      <c r="AC43" s="12">
        <f t="shared" si="29"/>
        <v>265.3121432557359</v>
      </c>
      <c r="AD43" s="13">
        <f t="shared" si="30"/>
        <v>28.51957221843395</v>
      </c>
      <c r="AE43" s="13">
        <f t="shared" si="36"/>
        <v>7.862758596720323</v>
      </c>
      <c r="AF43" s="13">
        <f t="shared" si="31"/>
        <v>21.956441795088868</v>
      </c>
      <c r="AG43" s="8">
        <f t="shared" si="10"/>
        <v>0.028421599169262728</v>
      </c>
      <c r="AH43" s="8">
        <f t="shared" si="37"/>
        <v>0.02588395638629284</v>
      </c>
      <c r="AI43" s="8">
        <f t="shared" si="12"/>
        <v>0.9107142857142857</v>
      </c>
      <c r="AJ43" s="9">
        <f t="shared" si="32"/>
        <v>-16.655813553724276</v>
      </c>
      <c r="AK43" s="8">
        <v>50.363</v>
      </c>
      <c r="AL43" s="8">
        <f t="shared" si="13"/>
        <v>0.9895791811772273</v>
      </c>
      <c r="AM43" s="8">
        <v>50.018</v>
      </c>
      <c r="AN43" s="8">
        <v>30.261</v>
      </c>
      <c r="AO43" s="8">
        <f t="shared" si="14"/>
        <v>0.982800299508023</v>
      </c>
      <c r="AP43" s="9">
        <f t="shared" si="33"/>
        <v>-16.655813553724276</v>
      </c>
    </row>
    <row r="44" spans="1:43" s="8" customFormat="1" ht="12.75">
      <c r="A44" s="8">
        <f t="shared" si="15"/>
        <v>0.0009543851692230011</v>
      </c>
      <c r="B44" s="7">
        <v>18052132</v>
      </c>
      <c r="C44" s="8">
        <v>965</v>
      </c>
      <c r="D44" s="8">
        <v>21.7</v>
      </c>
      <c r="E44" s="8">
        <f t="shared" si="16"/>
        <v>22.28074153884994</v>
      </c>
      <c r="F44" s="8">
        <f t="shared" si="34"/>
        <v>0.5807415388499428</v>
      </c>
      <c r="G44" s="8">
        <v>60.4</v>
      </c>
      <c r="H44" s="10">
        <f t="shared" si="1"/>
        <v>6.04E-05</v>
      </c>
      <c r="I44" s="10">
        <f t="shared" si="2"/>
        <v>3.02E-05</v>
      </c>
      <c r="J44" s="10">
        <f t="shared" si="3"/>
        <v>0.020972222222222222</v>
      </c>
      <c r="K44" s="8">
        <v>2</v>
      </c>
      <c r="L44" s="8">
        <f t="shared" si="4"/>
        <v>0.02</v>
      </c>
      <c r="M44" s="11">
        <f t="shared" si="17"/>
        <v>5.641874081854122E-05</v>
      </c>
      <c r="N44" s="10">
        <f t="shared" si="18"/>
        <v>0.6031877714158934</v>
      </c>
      <c r="O44" s="8">
        <f t="shared" si="19"/>
        <v>1030.019772454043</v>
      </c>
      <c r="P44" s="8">
        <f t="shared" si="20"/>
        <v>4186.186109311944</v>
      </c>
      <c r="Q44" s="10">
        <f t="shared" si="21"/>
        <v>1.3989056831231226E-07</v>
      </c>
      <c r="R44" s="10">
        <f t="shared" si="22"/>
        <v>0.003554261427868088</v>
      </c>
      <c r="S44" s="12">
        <f t="shared" si="23"/>
        <v>246.20585804352797</v>
      </c>
      <c r="T44" s="13">
        <f t="shared" si="24"/>
        <v>23.61155754847821</v>
      </c>
      <c r="U44" s="13">
        <f t="shared" si="25"/>
        <v>3.337204634990942</v>
      </c>
      <c r="V44" s="13">
        <f t="shared" si="26"/>
        <v>18.276314089838717</v>
      </c>
      <c r="W44" s="11">
        <f t="shared" si="5"/>
        <v>5.423559999999999E-05</v>
      </c>
      <c r="X44" s="10">
        <f t="shared" si="27"/>
        <v>0.6024269999999999</v>
      </c>
      <c r="Y44" s="8">
        <f t="shared" si="6"/>
        <v>1030.5478408083309</v>
      </c>
      <c r="Z44" s="8">
        <f t="shared" si="7"/>
        <v>4185.866606759782</v>
      </c>
      <c r="AA44" s="10">
        <f t="shared" si="28"/>
        <v>1.396531982572113E-07</v>
      </c>
      <c r="AB44" s="10">
        <f t="shared" si="35"/>
        <v>0.0035522501689001294</v>
      </c>
      <c r="AC44" s="12">
        <f t="shared" si="29"/>
        <v>246.04017442797064</v>
      </c>
      <c r="AD44" s="13">
        <f t="shared" si="30"/>
        <v>23.637766617285227</v>
      </c>
      <c r="AE44" s="13">
        <f t="shared" si="36"/>
        <v>5.47183696266918</v>
      </c>
      <c r="AF44" s="13">
        <f t="shared" si="31"/>
        <v>18.29596520352983</v>
      </c>
      <c r="AG44" s="8">
        <f t="shared" si="10"/>
        <v>0.021353535353535354</v>
      </c>
      <c r="AH44" s="8">
        <f t="shared" si="37"/>
        <v>0.02059090909090909</v>
      </c>
      <c r="AI44" s="8">
        <f t="shared" si="12"/>
        <v>0.9642857142857143</v>
      </c>
      <c r="AJ44" s="9">
        <f t="shared" si="32"/>
        <v>-14.939109454847776</v>
      </c>
      <c r="AK44" s="8">
        <v>72.568</v>
      </c>
      <c r="AL44" s="8">
        <f t="shared" si="13"/>
        <v>1.1013219560487053</v>
      </c>
      <c r="AO44" s="8">
        <f t="shared" si="14"/>
        <v>0</v>
      </c>
      <c r="AP44" s="9">
        <f t="shared" si="33"/>
        <v>-14.939109454847776</v>
      </c>
      <c r="AQ44" s="8">
        <v>0.9941542288557214</v>
      </c>
    </row>
    <row r="45" spans="1:42" s="8" customFormat="1" ht="12.75">
      <c r="A45" s="8">
        <f t="shared" si="15"/>
        <v>0.001061508118141498</v>
      </c>
      <c r="B45" s="7" t="s">
        <v>58</v>
      </c>
      <c r="C45" s="8">
        <v>3995</v>
      </c>
      <c r="D45" s="8">
        <v>15.1</v>
      </c>
      <c r="E45" s="8">
        <f t="shared" si="16"/>
        <v>16.924594092925098</v>
      </c>
      <c r="F45" s="8">
        <f t="shared" si="34"/>
        <v>1.8245940929250986</v>
      </c>
      <c r="G45" s="8">
        <v>79.2</v>
      </c>
      <c r="H45" s="10">
        <f t="shared" si="1"/>
        <v>7.92E-05</v>
      </c>
      <c r="I45" s="10">
        <f t="shared" si="2"/>
        <v>3.96E-05</v>
      </c>
      <c r="J45" s="10">
        <f t="shared" si="3"/>
        <v>0.027500000000000004</v>
      </c>
      <c r="K45" s="8">
        <v>11</v>
      </c>
      <c r="L45" s="8">
        <f t="shared" si="4"/>
        <v>0.11</v>
      </c>
      <c r="M45" s="11">
        <f t="shared" si="17"/>
        <v>3.73068635942612E-05</v>
      </c>
      <c r="N45" s="10">
        <f t="shared" si="18"/>
        <v>0.5961712182617318</v>
      </c>
      <c r="O45" s="8">
        <f t="shared" si="19"/>
        <v>1034.876900459655</v>
      </c>
      <c r="P45" s="8">
        <f t="shared" si="20"/>
        <v>4183.153783778295</v>
      </c>
      <c r="Q45" s="10">
        <f t="shared" si="21"/>
        <v>1.3771412328726594E-07</v>
      </c>
      <c r="R45" s="10">
        <f t="shared" si="22"/>
        <v>0.0032303837711686015</v>
      </c>
      <c r="S45" s="12">
        <f t="shared" si="23"/>
        <v>266.97277822002627</v>
      </c>
      <c r="T45" s="13">
        <f t="shared" si="24"/>
        <v>28.666370555627367</v>
      </c>
      <c r="U45" s="13">
        <f t="shared" si="25"/>
        <v>5.017150024431472</v>
      </c>
      <c r="V45" s="13">
        <f t="shared" si="26"/>
        <v>22.06651877506465</v>
      </c>
      <c r="W45" s="11">
        <f>0.00000004*D45^2+0.000002*D45-0.000008</f>
        <v>3.13204E-05</v>
      </c>
      <c r="X45" s="10">
        <f>0.574+0.00131*D45</f>
        <v>0.593781</v>
      </c>
      <c r="Y45" s="8">
        <f>10^(3+LOG10(0.3471)-(1-(D45+273.15)/(374.2+273.15))^(2/7)*LOG10(0.274))</f>
        <v>1036.5247986373374</v>
      </c>
      <c r="Z45" s="8">
        <f>4.1868*(0.6741+(0.002825*(D45+273.15))+(-0.000008371*((D45+273.15)^2))+(0.000000008601*((D45+273.15)^3)))*1000</f>
        <v>4182.073862624193</v>
      </c>
      <c r="AA45" s="10">
        <f>X45/(Y45*Z45)</f>
        <v>1.3697928686882147E-07</v>
      </c>
      <c r="AB45" s="10">
        <f t="shared" si="35"/>
        <v>0.00322462836830197</v>
      </c>
      <c r="AC45" s="12">
        <f t="shared" si="29"/>
        <v>266.39816084703415</v>
      </c>
      <c r="AD45" s="13">
        <f t="shared" si="30"/>
        <v>28.766520960945506</v>
      </c>
      <c r="AE45" s="13">
        <f t="shared" si="36"/>
        <v>7.6083237420247904</v>
      </c>
      <c r="AF45" s="13">
        <f t="shared" si="31"/>
        <v>22.141616852087694</v>
      </c>
      <c r="AG45" s="8">
        <f t="shared" si="10"/>
        <v>0.030495049504950498</v>
      </c>
      <c r="AH45" s="8">
        <f t="shared" si="37"/>
        <v>0.02450495049504951</v>
      </c>
      <c r="AI45" s="8">
        <f t="shared" si="12"/>
        <v>0.8035714285714286</v>
      </c>
      <c r="AJ45" s="9">
        <f t="shared" si="32"/>
        <v>-17.049368750633178</v>
      </c>
      <c r="AK45" s="8">
        <v>42.626</v>
      </c>
      <c r="AL45" s="8">
        <f t="shared" si="13"/>
        <v>0.8482658183956219</v>
      </c>
      <c r="AM45" s="8">
        <v>51.211</v>
      </c>
      <c r="AN45" s="8">
        <v>30.261</v>
      </c>
      <c r="AO45" s="8">
        <f>MIN(1,AM45/(v/H45))</f>
        <v>1</v>
      </c>
      <c r="AP45" s="9">
        <f t="shared" si="33"/>
        <v>-17.049368750633178</v>
      </c>
    </row>
    <row r="46" spans="1:42" s="8" customFormat="1" ht="12.75">
      <c r="A46" s="8">
        <f t="shared" si="15"/>
        <v>0.000976</v>
      </c>
      <c r="B46" s="7">
        <v>21051832</v>
      </c>
      <c r="C46" s="8">
        <v>0</v>
      </c>
      <c r="D46" s="8">
        <v>21.2</v>
      </c>
      <c r="E46" s="8">
        <f t="shared" si="16"/>
        <v>21.2</v>
      </c>
      <c r="F46" s="8">
        <f t="shared" si="34"/>
        <v>0</v>
      </c>
      <c r="G46" s="8">
        <v>36.9</v>
      </c>
      <c r="H46" s="10">
        <f t="shared" si="1"/>
        <v>3.6899999999999996E-05</v>
      </c>
      <c r="I46" s="10">
        <f t="shared" si="2"/>
        <v>1.8449999999999998E-05</v>
      </c>
      <c r="J46" s="10">
        <f t="shared" si="3"/>
        <v>0.0128125</v>
      </c>
      <c r="K46" s="8">
        <v>0</v>
      </c>
      <c r="L46" s="8">
        <f t="shared" si="4"/>
        <v>0</v>
      </c>
      <c r="M46" s="11">
        <f t="shared" si="17"/>
        <v>5.23776E-05</v>
      </c>
      <c r="N46" s="10">
        <f t="shared" si="18"/>
        <v>0.601772</v>
      </c>
      <c r="O46" s="8">
        <f t="shared" si="19"/>
        <v>1031.0022098010008</v>
      </c>
      <c r="P46" s="8">
        <f t="shared" si="20"/>
        <v>4185.589800595411</v>
      </c>
      <c r="Q46" s="10">
        <f t="shared" si="21"/>
        <v>1.3944910020342217E-07</v>
      </c>
      <c r="R46" s="10">
        <f t="shared" si="22"/>
        <v>0.004184287965148208</v>
      </c>
      <c r="S46" s="12">
        <f t="shared" si="23"/>
        <v>209.69407524030666</v>
      </c>
      <c r="T46" s="13">
        <f t="shared" si="24"/>
        <v>16.950341498799713</v>
      </c>
      <c r="U46" s="13">
        <f t="shared" si="25"/>
        <v>0</v>
      </c>
      <c r="V46" s="13">
        <f t="shared" si="26"/>
        <v>13.282415461422916</v>
      </c>
      <c r="W46" s="11">
        <f t="shared" si="5"/>
        <v>5.23776E-05</v>
      </c>
      <c r="X46" s="10">
        <f t="shared" si="27"/>
        <v>0.601772</v>
      </c>
      <c r="Y46" s="8">
        <f t="shared" si="6"/>
        <v>1031.0022098010008</v>
      </c>
      <c r="Z46" s="8">
        <f t="shared" si="7"/>
        <v>4185.589800595411</v>
      </c>
      <c r="AA46" s="10">
        <f t="shared" si="28"/>
        <v>1.3944910020342217E-07</v>
      </c>
      <c r="AB46" s="10">
        <f t="shared" si="35"/>
        <v>0.004184287965148208</v>
      </c>
      <c r="AC46" s="12">
        <f t="shared" si="29"/>
        <v>209.69407524030666</v>
      </c>
      <c r="AD46" s="13">
        <f t="shared" si="30"/>
        <v>16.950341498799713</v>
      </c>
      <c r="AE46" s="13">
        <f t="shared" si="36"/>
        <v>0</v>
      </c>
      <c r="AF46" s="13">
        <f t="shared" si="31"/>
        <v>13.282415461422916</v>
      </c>
      <c r="AG46" s="8">
        <f t="shared" si="10"/>
        <v>0.0128125</v>
      </c>
      <c r="AH46" s="8">
        <f t="shared" si="37"/>
        <v>0.0128125</v>
      </c>
      <c r="AI46" s="8">
        <f t="shared" si="12"/>
        <v>1</v>
      </c>
      <c r="AJ46" s="9">
        <f t="shared" si="32"/>
        <v>-13.282415461422916</v>
      </c>
      <c r="AK46" s="8">
        <v>114.395</v>
      </c>
      <c r="AL46" s="8">
        <f t="shared" si="13"/>
        <v>1.0606341680360614</v>
      </c>
      <c r="AO46" s="8">
        <f aca="true" t="shared" si="38" ref="AO46:AO67">MIN(1,AM46/(v/H46))</f>
        <v>0</v>
      </c>
      <c r="AP46" s="9">
        <f t="shared" si="33"/>
        <v>-13.282415461422916</v>
      </c>
    </row>
    <row r="47" spans="1:42" s="8" customFormat="1" ht="12.75">
      <c r="A47" s="8">
        <f t="shared" si="15"/>
        <v>0.001053712317477759</v>
      </c>
      <c r="B47" s="7" t="s">
        <v>61</v>
      </c>
      <c r="C47" s="8">
        <v>5050</v>
      </c>
      <c r="D47" s="8">
        <v>15.2</v>
      </c>
      <c r="E47" s="8">
        <f t="shared" si="16"/>
        <v>17.314384126112053</v>
      </c>
      <c r="F47" s="8">
        <f t="shared" si="34"/>
        <v>2.114384126112055</v>
      </c>
      <c r="G47" s="8">
        <v>86.4</v>
      </c>
      <c r="H47" s="10">
        <f t="shared" si="1"/>
        <v>8.64E-05</v>
      </c>
      <c r="I47" s="10">
        <f t="shared" si="2"/>
        <v>4.32E-05</v>
      </c>
      <c r="J47" s="10">
        <f t="shared" si="3"/>
        <v>0.030000000000000002</v>
      </c>
      <c r="K47" s="8">
        <v>6</v>
      </c>
      <c r="L47" s="8">
        <f t="shared" si="4"/>
        <v>0.06</v>
      </c>
      <c r="M47" s="11">
        <f t="shared" si="17"/>
        <v>3.862028415888655E-05</v>
      </c>
      <c r="N47" s="10">
        <f t="shared" si="18"/>
        <v>0.5966818432052068</v>
      </c>
      <c r="O47" s="8">
        <f t="shared" si="19"/>
        <v>1034.5244199187537</v>
      </c>
      <c r="P47" s="8">
        <f t="shared" si="20"/>
        <v>4183.381241337552</v>
      </c>
      <c r="Q47" s="10">
        <f t="shared" si="21"/>
        <v>1.3787154150407516E-07</v>
      </c>
      <c r="R47" s="10">
        <f t="shared" si="22"/>
        <v>0.0031392402866024143</v>
      </c>
      <c r="S47" s="12">
        <f t="shared" si="23"/>
        <v>274.6667823104935</v>
      </c>
      <c r="T47" s="13">
        <f t="shared" si="24"/>
        <v>30.38769648207458</v>
      </c>
      <c r="U47" s="13">
        <f t="shared" si="25"/>
        <v>5.3287167472630514</v>
      </c>
      <c r="V47" s="13">
        <f t="shared" si="26"/>
        <v>23.357273572017522</v>
      </c>
      <c r="W47" s="11">
        <f t="shared" si="5"/>
        <v>3.16416E-05</v>
      </c>
      <c r="X47" s="10">
        <f t="shared" si="27"/>
        <v>0.593912</v>
      </c>
      <c r="Y47" s="8">
        <f t="shared" si="6"/>
        <v>1036.4345700434894</v>
      </c>
      <c r="Z47" s="8">
        <f t="shared" si="7"/>
        <v>4182.13371147912</v>
      </c>
      <c r="AA47" s="10">
        <f t="shared" si="28"/>
        <v>1.3701947398626636E-07</v>
      </c>
      <c r="AB47" s="10">
        <f t="shared" si="35"/>
        <v>0.0031327605683446123</v>
      </c>
      <c r="AC47" s="12">
        <f t="shared" si="29"/>
        <v>273.98315466627474</v>
      </c>
      <c r="AD47" s="13">
        <f t="shared" si="30"/>
        <v>30.51066482296906</v>
      </c>
      <c r="AE47" s="13">
        <f t="shared" si="36"/>
        <v>8.164274399999998</v>
      </c>
      <c r="AF47" s="13">
        <f t="shared" si="31"/>
        <v>23.449483740002204</v>
      </c>
      <c r="AG47" s="8">
        <f t="shared" si="10"/>
        <v>0.031698113207547174</v>
      </c>
      <c r="AH47" s="8">
        <f t="shared" si="37"/>
        <v>0.02830188679245283</v>
      </c>
      <c r="AI47" s="8">
        <f t="shared" si="12"/>
        <v>0.8928571428571428</v>
      </c>
      <c r="AJ47" s="9">
        <f t="shared" si="32"/>
        <v>-18.02855682475447</v>
      </c>
      <c r="AK47" s="8">
        <v>43.729</v>
      </c>
      <c r="AL47" s="8">
        <f t="shared" si="13"/>
        <v>0.9493262577075576</v>
      </c>
      <c r="AM47" s="8">
        <v>44.876</v>
      </c>
      <c r="AN47" s="8">
        <v>30.261</v>
      </c>
      <c r="AO47" s="8">
        <f t="shared" si="38"/>
        <v>0.9742268320996216</v>
      </c>
      <c r="AP47" s="9">
        <f t="shared" si="33"/>
        <v>-18.02855682475447</v>
      </c>
    </row>
    <row r="48" spans="1:42" s="8" customFormat="1" ht="12.75">
      <c r="A48" s="8">
        <f t="shared" si="15"/>
        <v>0.0010708593516751891</v>
      </c>
      <c r="B48" s="7" t="s">
        <v>53</v>
      </c>
      <c r="C48" s="8">
        <v>2985</v>
      </c>
      <c r="D48" s="8">
        <v>15</v>
      </c>
      <c r="E48" s="8">
        <f t="shared" si="16"/>
        <v>16.457032416240544</v>
      </c>
      <c r="F48" s="8">
        <f t="shared" si="34"/>
        <v>1.457032416240546</v>
      </c>
      <c r="G48" s="8">
        <v>74.1</v>
      </c>
      <c r="H48" s="10">
        <f t="shared" si="1"/>
        <v>7.409999999999999E-05</v>
      </c>
      <c r="I48" s="10">
        <f t="shared" si="2"/>
        <v>3.704999999999999E-05</v>
      </c>
      <c r="J48" s="10">
        <f t="shared" si="3"/>
        <v>0.025729166666666664</v>
      </c>
      <c r="K48" s="8">
        <v>9</v>
      </c>
      <c r="L48" s="8">
        <f t="shared" si="4"/>
        <v>0.09</v>
      </c>
      <c r="M48" s="11">
        <f t="shared" si="17"/>
        <v>3.5747421470448774E-05</v>
      </c>
      <c r="N48" s="10">
        <f t="shared" si="18"/>
        <v>0.595558712465275</v>
      </c>
      <c r="O48" s="8">
        <f t="shared" si="19"/>
        <v>1035.2995046323863</v>
      </c>
      <c r="P48" s="8">
        <f t="shared" si="20"/>
        <v>4182.879454980233</v>
      </c>
      <c r="Q48" s="10">
        <f t="shared" si="21"/>
        <v>1.3752549828366193E-07</v>
      </c>
      <c r="R48" s="10">
        <f t="shared" si="22"/>
        <v>0.003301341230015142</v>
      </c>
      <c r="S48" s="12">
        <f t="shared" si="23"/>
        <v>261.1753694256563</v>
      </c>
      <c r="T48" s="13">
        <f t="shared" si="24"/>
        <v>27.425170200688683</v>
      </c>
      <c r="U48" s="13">
        <f t="shared" si="25"/>
        <v>4.21229867776185</v>
      </c>
      <c r="V48" s="13">
        <f t="shared" si="26"/>
        <v>21.135809928197432</v>
      </c>
      <c r="W48" s="11">
        <f t="shared" si="5"/>
        <v>3.1E-05</v>
      </c>
      <c r="X48" s="10">
        <f t="shared" si="27"/>
        <v>0.59365</v>
      </c>
      <c r="Y48" s="8">
        <f t="shared" si="6"/>
        <v>1036.6150171382649</v>
      </c>
      <c r="Z48" s="8">
        <f t="shared" si="7"/>
        <v>4182.013935619692</v>
      </c>
      <c r="AA48" s="10">
        <f t="shared" si="28"/>
        <v>1.3693910983078368E-07</v>
      </c>
      <c r="AB48" s="10">
        <f t="shared" si="35"/>
        <v>0.003296642870726223</v>
      </c>
      <c r="AC48" s="12">
        <f t="shared" si="29"/>
        <v>260.7255587325243</v>
      </c>
      <c r="AD48" s="13">
        <f t="shared" si="30"/>
        <v>27.50170117683711</v>
      </c>
      <c r="AE48" s="13">
        <f t="shared" si="36"/>
        <v>6.427837322362277</v>
      </c>
      <c r="AF48" s="13">
        <f t="shared" si="31"/>
        <v>21.193195859146385</v>
      </c>
      <c r="AG48" s="8">
        <f t="shared" si="10"/>
        <v>0.027977346278317147</v>
      </c>
      <c r="AH48" s="8">
        <f t="shared" si="37"/>
        <v>0.023480987055016177</v>
      </c>
      <c r="AI48" s="8">
        <f t="shared" si="12"/>
        <v>0.8392857142857143</v>
      </c>
      <c r="AJ48" s="9">
        <f t="shared" si="32"/>
        <v>-16.92351125043558</v>
      </c>
      <c r="AK48" s="8">
        <v>41.753</v>
      </c>
      <c r="AL48" s="8">
        <f t="shared" si="13"/>
        <v>0.7773884759765417</v>
      </c>
      <c r="AM48" s="8">
        <v>50.76</v>
      </c>
      <c r="AN48" s="8">
        <v>34.696</v>
      </c>
      <c r="AO48" s="8">
        <f t="shared" si="38"/>
        <v>0.9450875156412535</v>
      </c>
      <c r="AP48" s="9">
        <f t="shared" si="33"/>
        <v>-16.92351125043558</v>
      </c>
    </row>
    <row r="49" spans="1:42" s="8" customFormat="1" ht="12.75">
      <c r="A49" s="8">
        <f t="shared" si="15"/>
        <v>0.0010721629472881492</v>
      </c>
      <c r="B49" s="7" t="s">
        <v>54</v>
      </c>
      <c r="C49" s="8">
        <v>2990</v>
      </c>
      <c r="D49" s="8">
        <v>15</v>
      </c>
      <c r="E49" s="8">
        <f t="shared" si="16"/>
        <v>16.39185263559254</v>
      </c>
      <c r="F49" s="8">
        <f t="shared" si="34"/>
        <v>1.391852635592539</v>
      </c>
      <c r="G49" s="8">
        <v>77.7</v>
      </c>
      <c r="H49" s="10">
        <f t="shared" si="1"/>
        <v>7.77E-05</v>
      </c>
      <c r="I49" s="10">
        <f t="shared" si="2"/>
        <v>3.885E-05</v>
      </c>
      <c r="J49" s="10">
        <f t="shared" si="3"/>
        <v>0.026979166666666672</v>
      </c>
      <c r="K49" s="8">
        <v>10</v>
      </c>
      <c r="L49" s="8">
        <f t="shared" si="4"/>
        <v>0.1</v>
      </c>
      <c r="M49" s="11">
        <f t="shared" si="17"/>
        <v>3.553141858426436E-05</v>
      </c>
      <c r="N49" s="10">
        <f t="shared" si="18"/>
        <v>0.5954733269526262</v>
      </c>
      <c r="O49" s="8">
        <f t="shared" si="19"/>
        <v>1035.3583995330323</v>
      </c>
      <c r="P49" s="8">
        <f t="shared" si="20"/>
        <v>4182.841082468986</v>
      </c>
      <c r="Q49" s="10">
        <f t="shared" si="21"/>
        <v>1.3749922074830465E-07</v>
      </c>
      <c r="R49" s="10">
        <f t="shared" si="22"/>
        <v>0.0032493450983998038</v>
      </c>
      <c r="S49" s="12">
        <f t="shared" si="23"/>
        <v>265.1702429209709</v>
      </c>
      <c r="T49" s="13">
        <f t="shared" si="24"/>
        <v>28.325676725194015</v>
      </c>
      <c r="U49" s="13">
        <f t="shared" si="25"/>
        <v>3.7536502174074156</v>
      </c>
      <c r="V49" s="13">
        <f t="shared" si="26"/>
        <v>21.81104927845695</v>
      </c>
      <c r="W49" s="11">
        <f t="shared" si="5"/>
        <v>3.1E-05</v>
      </c>
      <c r="X49" s="10">
        <f t="shared" si="27"/>
        <v>0.59365</v>
      </c>
      <c r="Y49" s="8">
        <f t="shared" si="6"/>
        <v>1036.6150171382649</v>
      </c>
      <c r="Z49" s="8">
        <f t="shared" si="7"/>
        <v>4182.013935619692</v>
      </c>
      <c r="AA49" s="10">
        <f t="shared" si="28"/>
        <v>1.3693910983078368E-07</v>
      </c>
      <c r="AB49" s="10">
        <f t="shared" si="35"/>
        <v>0.003244927404437602</v>
      </c>
      <c r="AC49" s="12">
        <f t="shared" si="29"/>
        <v>264.7341547998364</v>
      </c>
      <c r="AD49" s="13">
        <f t="shared" si="30"/>
        <v>28.4011549270834</v>
      </c>
      <c r="AE49" s="13">
        <f t="shared" si="36"/>
        <v>5.8557982856546555</v>
      </c>
      <c r="AF49" s="13">
        <f t="shared" si="31"/>
        <v>21.867646553641237</v>
      </c>
      <c r="AG49" s="8">
        <f t="shared" si="10"/>
        <v>0.029624183006535947</v>
      </c>
      <c r="AH49" s="8">
        <f t="shared" si="37"/>
        <v>0.024334150326797387</v>
      </c>
      <c r="AI49" s="8">
        <f t="shared" si="12"/>
        <v>0.8214285714285715</v>
      </c>
      <c r="AJ49" s="9">
        <f t="shared" si="32"/>
        <v>-18.057399061049534</v>
      </c>
      <c r="AK49" s="8">
        <v>51.485</v>
      </c>
      <c r="AL49" s="8">
        <f t="shared" si="13"/>
        <v>1.0051570909529481</v>
      </c>
      <c r="AM49" s="8">
        <v>52.325</v>
      </c>
      <c r="AN49" s="8">
        <v>33.652</v>
      </c>
      <c r="AO49" s="8">
        <f t="shared" si="38"/>
        <v>1</v>
      </c>
      <c r="AP49" s="9">
        <f t="shared" si="33"/>
        <v>-18.057399061049534</v>
      </c>
    </row>
    <row r="50" spans="1:42" s="8" customFormat="1" ht="12.75">
      <c r="A50" s="8">
        <f t="shared" si="15"/>
        <v>0.0010728273995513717</v>
      </c>
      <c r="B50" s="7" t="s">
        <v>55</v>
      </c>
      <c r="C50" s="8">
        <v>2990</v>
      </c>
      <c r="D50" s="8">
        <v>15</v>
      </c>
      <c r="E50" s="8">
        <f t="shared" si="16"/>
        <v>16.35863002243141</v>
      </c>
      <c r="F50" s="8">
        <f t="shared" si="34"/>
        <v>1.3586300224314105</v>
      </c>
      <c r="G50" s="8">
        <v>79.6</v>
      </c>
      <c r="H50" s="10">
        <f t="shared" si="1"/>
        <v>7.96E-05</v>
      </c>
      <c r="I50" s="10">
        <f t="shared" si="2"/>
        <v>3.98E-05</v>
      </c>
      <c r="J50" s="10">
        <f t="shared" si="3"/>
        <v>0.02763888888888889</v>
      </c>
      <c r="K50" s="8">
        <v>7</v>
      </c>
      <c r="L50" s="8">
        <f t="shared" si="4"/>
        <v>0.07</v>
      </c>
      <c r="M50" s="11">
        <f t="shared" si="17"/>
        <v>3.5421451093294586E-05</v>
      </c>
      <c r="N50" s="10">
        <f t="shared" si="18"/>
        <v>0.595429805329385</v>
      </c>
      <c r="O50" s="8">
        <f t="shared" si="19"/>
        <v>1035.388417037126</v>
      </c>
      <c r="P50" s="8">
        <f t="shared" si="20"/>
        <v>4182.821511403775</v>
      </c>
      <c r="Q50" s="10">
        <f t="shared" si="21"/>
        <v>1.3748582854048564E-07</v>
      </c>
      <c r="R50" s="10">
        <f t="shared" si="22"/>
        <v>0.0032231813332629575</v>
      </c>
      <c r="S50" s="12">
        <f t="shared" si="23"/>
        <v>267.2271932019223</v>
      </c>
      <c r="T50" s="13">
        <f t="shared" si="24"/>
        <v>28.795660105138875</v>
      </c>
      <c r="U50" s="13">
        <f t="shared" si="25"/>
        <v>3.5359056621219347</v>
      </c>
      <c r="V50" s="13">
        <f t="shared" si="26"/>
        <v>22.16346694453064</v>
      </c>
      <c r="W50" s="11">
        <f t="shared" si="5"/>
        <v>3.1E-05</v>
      </c>
      <c r="X50" s="10">
        <f t="shared" si="27"/>
        <v>0.59365</v>
      </c>
      <c r="Y50" s="8">
        <f t="shared" si="6"/>
        <v>1036.6150171382649</v>
      </c>
      <c r="Z50" s="8">
        <f t="shared" si="7"/>
        <v>4182.013935619692</v>
      </c>
      <c r="AA50" s="10">
        <f t="shared" si="28"/>
        <v>1.3693910983078368E-07</v>
      </c>
      <c r="AB50" s="10">
        <f t="shared" si="35"/>
        <v>0.003218903708953123</v>
      </c>
      <c r="AC50" s="12">
        <f t="shared" si="29"/>
        <v>266.7983001284179</v>
      </c>
      <c r="AD50" s="13">
        <f t="shared" si="30"/>
        <v>28.87054400024655</v>
      </c>
      <c r="AE50" s="13">
        <f t="shared" si="36"/>
        <v>5.579586442261559</v>
      </c>
      <c r="AF50" s="13">
        <f t="shared" si="31"/>
        <v>22.219618943005052</v>
      </c>
      <c r="AG50" s="8">
        <f t="shared" si="10"/>
        <v>0.029481481481481484</v>
      </c>
      <c r="AH50" s="8">
        <f t="shared" si="37"/>
        <v>0.025796296296296296</v>
      </c>
      <c r="AI50" s="8">
        <f t="shared" si="12"/>
        <v>0.8749999999999999</v>
      </c>
      <c r="AJ50" s="9">
        <f t="shared" si="32"/>
        <v>-18.627561282408706</v>
      </c>
      <c r="AK50" s="8">
        <v>39.627</v>
      </c>
      <c r="AL50" s="8">
        <f t="shared" si="13"/>
        <v>0.7925678792721352</v>
      </c>
      <c r="AM50" s="8">
        <v>51.565</v>
      </c>
      <c r="AN50" s="8">
        <v>34.174</v>
      </c>
      <c r="AO50" s="8">
        <f t="shared" si="38"/>
        <v>1</v>
      </c>
      <c r="AP50" s="9">
        <f t="shared" si="33"/>
        <v>-18.627561282408706</v>
      </c>
    </row>
    <row r="51" spans="1:42" s="8" customFormat="1" ht="12.75">
      <c r="A51" s="8">
        <f t="shared" si="15"/>
        <v>0.0010750868598486895</v>
      </c>
      <c r="B51" s="7" t="s">
        <v>50</v>
      </c>
      <c r="C51" s="8">
        <v>1950</v>
      </c>
      <c r="D51" s="8">
        <v>15.3</v>
      </c>
      <c r="E51" s="8">
        <f t="shared" si="16"/>
        <v>16.245657007565523</v>
      </c>
      <c r="F51" s="8">
        <f t="shared" si="34"/>
        <v>0.9456570075655226</v>
      </c>
      <c r="G51" s="8">
        <v>74.6</v>
      </c>
      <c r="H51" s="10">
        <f t="shared" si="1"/>
        <v>7.46E-05</v>
      </c>
      <c r="I51" s="10">
        <f t="shared" si="2"/>
        <v>3.73E-05</v>
      </c>
      <c r="J51" s="10">
        <f t="shared" si="3"/>
        <v>0.025902777777777778</v>
      </c>
      <c r="K51" s="8">
        <v>5</v>
      </c>
      <c r="L51" s="8">
        <f t="shared" si="4"/>
        <v>0.05</v>
      </c>
      <c r="M51" s="11">
        <f t="shared" si="17"/>
        <v>3.5048168879429566E-05</v>
      </c>
      <c r="N51" s="10">
        <f t="shared" si="18"/>
        <v>0.5952818106799108</v>
      </c>
      <c r="O51" s="8">
        <f t="shared" si="19"/>
        <v>1035.490482743569</v>
      </c>
      <c r="P51" s="8">
        <f t="shared" si="20"/>
        <v>4182.754897941744</v>
      </c>
      <c r="Q51" s="10">
        <f t="shared" si="21"/>
        <v>1.3744029684338044E-07</v>
      </c>
      <c r="R51" s="10">
        <f t="shared" si="22"/>
        <v>0.003293269469701674</v>
      </c>
      <c r="S51" s="12">
        <f t="shared" si="23"/>
        <v>261.67568984436525</v>
      </c>
      <c r="T51" s="13">
        <f t="shared" si="24"/>
        <v>27.561697621493018</v>
      </c>
      <c r="U51" s="13">
        <f t="shared" si="25"/>
        <v>2.6591871452095153</v>
      </c>
      <c r="V51" s="13">
        <f t="shared" si="26"/>
        <v>21.238183596788488</v>
      </c>
      <c r="W51" s="11">
        <f t="shared" si="5"/>
        <v>3.19636E-05</v>
      </c>
      <c r="X51" s="10">
        <f t="shared" si="27"/>
        <v>0.594043</v>
      </c>
      <c r="Y51" s="8">
        <f t="shared" si="6"/>
        <v>1036.3443313521543</v>
      </c>
      <c r="Z51" s="8">
        <f t="shared" si="7"/>
        <v>4182.193482400538</v>
      </c>
      <c r="AA51" s="10">
        <f t="shared" si="28"/>
        <v>1.3705967118195748E-07</v>
      </c>
      <c r="AB51" s="10">
        <f t="shared" si="35"/>
        <v>0.003290226848238366</v>
      </c>
      <c r="AC51" s="12">
        <f t="shared" si="29"/>
        <v>261.3831723165159</v>
      </c>
      <c r="AD51" s="13">
        <f t="shared" si="30"/>
        <v>27.611588094894906</v>
      </c>
      <c r="AE51" s="13">
        <f t="shared" si="36"/>
        <v>4.2717704503475185</v>
      </c>
      <c r="AF51" s="13">
        <f t="shared" si="31"/>
        <v>21.275593503985448</v>
      </c>
      <c r="AG51" s="8">
        <f t="shared" si="10"/>
        <v>0.027113187954309455</v>
      </c>
      <c r="AH51" s="8">
        <f t="shared" si="37"/>
        <v>0.02469236760124611</v>
      </c>
      <c r="AI51" s="8">
        <f t="shared" si="12"/>
        <v>0.9107142857142858</v>
      </c>
      <c r="AJ51" s="9">
        <f t="shared" si="32"/>
        <v>-18.578996451578973</v>
      </c>
      <c r="AK51" s="8">
        <v>37.911</v>
      </c>
      <c r="AL51" s="8">
        <f t="shared" si="13"/>
        <v>0.7106181121949013</v>
      </c>
      <c r="AM51" s="8">
        <v>51.47</v>
      </c>
      <c r="AN51" s="8">
        <v>35.739</v>
      </c>
      <c r="AO51" s="8">
        <f t="shared" si="38"/>
        <v>0.9647731327232616</v>
      </c>
      <c r="AP51" s="9">
        <f t="shared" si="33"/>
        <v>-18.578996451578973</v>
      </c>
    </row>
    <row r="52" spans="1:42" s="8" customFormat="1" ht="12.75">
      <c r="A52" s="8">
        <f t="shared" si="15"/>
        <v>0.0009568</v>
      </c>
      <c r="B52" s="7">
        <v>18052058</v>
      </c>
      <c r="C52" s="8">
        <v>0</v>
      </c>
      <c r="D52" s="8">
        <v>22.16</v>
      </c>
      <c r="E52" s="8">
        <f t="shared" si="16"/>
        <v>22.16</v>
      </c>
      <c r="F52" s="8">
        <f t="shared" si="34"/>
        <v>0</v>
      </c>
      <c r="G52" s="8">
        <v>56.9</v>
      </c>
      <c r="H52" s="10">
        <f t="shared" si="1"/>
        <v>5.6899999999999994E-05</v>
      </c>
      <c r="I52" s="10">
        <f t="shared" si="2"/>
        <v>2.8449999999999997E-05</v>
      </c>
      <c r="J52" s="10">
        <f t="shared" si="3"/>
        <v>0.019756944444444445</v>
      </c>
      <c r="K52" s="8">
        <v>0</v>
      </c>
      <c r="L52" s="8">
        <f>K52/100</f>
        <v>0</v>
      </c>
      <c r="M52" s="11">
        <f t="shared" si="17"/>
        <v>5.5962624E-05</v>
      </c>
      <c r="N52" s="10">
        <f t="shared" si="18"/>
        <v>0.6030295999999999</v>
      </c>
      <c r="O52" s="8">
        <f t="shared" si="19"/>
        <v>1030.1295916824458</v>
      </c>
      <c r="P52" s="8">
        <f t="shared" si="20"/>
        <v>4186.11985711807</v>
      </c>
      <c r="Q52" s="10">
        <f t="shared" si="21"/>
        <v>1.3984118914129239E-07</v>
      </c>
      <c r="R52" s="10">
        <f t="shared" si="22"/>
        <v>0.003625258321408698</v>
      </c>
      <c r="S52" s="12">
        <f t="shared" si="23"/>
        <v>241.47815876526005</v>
      </c>
      <c r="T52" s="13">
        <f t="shared" si="24"/>
        <v>22.680880923890996</v>
      </c>
      <c r="U52" s="13">
        <f t="shared" si="25"/>
        <v>0</v>
      </c>
      <c r="V52" s="13">
        <f t="shared" si="26"/>
        <v>17.578517090424292</v>
      </c>
      <c r="W52" s="11">
        <f t="shared" si="5"/>
        <v>5.5962624E-05</v>
      </c>
      <c r="X52" s="10">
        <f t="shared" si="27"/>
        <v>0.6030295999999999</v>
      </c>
      <c r="Y52" s="8">
        <f t="shared" si="6"/>
        <v>1030.1295916824458</v>
      </c>
      <c r="Z52" s="8">
        <f t="shared" si="7"/>
        <v>4186.11985711807</v>
      </c>
      <c r="AA52" s="10">
        <f t="shared" si="28"/>
        <v>1.3984118914129239E-07</v>
      </c>
      <c r="AB52" s="10">
        <f t="shared" si="35"/>
        <v>0.003625258321408698</v>
      </c>
      <c r="AC52" s="12">
        <f t="shared" si="29"/>
        <v>241.47815876526005</v>
      </c>
      <c r="AD52" s="13">
        <f t="shared" si="30"/>
        <v>22.680880923890996</v>
      </c>
      <c r="AE52" s="13">
        <f t="shared" si="36"/>
        <v>0</v>
      </c>
      <c r="AF52" s="13">
        <f t="shared" si="31"/>
        <v>17.578517090424292</v>
      </c>
      <c r="AG52" s="8">
        <f>H52/(b*h*(1+(l-ABS(L52))/l))</f>
        <v>0.019756944444444445</v>
      </c>
      <c r="AH52" s="8">
        <f t="shared" si="37"/>
        <v>0.019756944444444445</v>
      </c>
      <c r="AI52" s="8">
        <f>AH52/AG52</f>
        <v>1</v>
      </c>
      <c r="AJ52" s="9">
        <f t="shared" si="32"/>
        <v>-17.578517090424292</v>
      </c>
      <c r="AK52" s="8">
        <v>40.508</v>
      </c>
      <c r="AL52" s="8">
        <f t="shared" si="13"/>
        <v>0.5791422813867824</v>
      </c>
      <c r="AO52" s="8">
        <f t="shared" si="38"/>
        <v>0</v>
      </c>
      <c r="AP52" s="9">
        <f t="shared" si="33"/>
        <v>-17.578517090424292</v>
      </c>
    </row>
    <row r="53" spans="1:42" s="8" customFormat="1" ht="12.75">
      <c r="A53" s="8">
        <f t="shared" si="15"/>
        <v>0.0010760490101582223</v>
      </c>
      <c r="B53" s="7" t="s">
        <v>51</v>
      </c>
      <c r="C53" s="8">
        <v>1955</v>
      </c>
      <c r="D53" s="8">
        <v>15.3</v>
      </c>
      <c r="E53" s="8">
        <f t="shared" si="16"/>
        <v>16.197549492088886</v>
      </c>
      <c r="F53" s="8">
        <f t="shared" si="34"/>
        <v>0.8975494920888847</v>
      </c>
      <c r="G53" s="8">
        <v>78.8</v>
      </c>
      <c r="H53" s="10">
        <f t="shared" si="1"/>
        <v>7.879999999999999E-05</v>
      </c>
      <c r="I53" s="10">
        <f t="shared" si="2"/>
        <v>3.9399999999999995E-05</v>
      </c>
      <c r="J53" s="10">
        <f t="shared" si="3"/>
        <v>0.02736111111111111</v>
      </c>
      <c r="K53" s="8">
        <v>0</v>
      </c>
      <c r="L53" s="8">
        <f t="shared" si="4"/>
        <v>0</v>
      </c>
      <c r="M53" s="11">
        <f t="shared" si="17"/>
        <v>3.488952336612453E-05</v>
      </c>
      <c r="N53" s="10">
        <f t="shared" si="18"/>
        <v>0.5952187898346364</v>
      </c>
      <c r="O53" s="8">
        <f t="shared" si="19"/>
        <v>1035.5339416476643</v>
      </c>
      <c r="P53" s="8">
        <f t="shared" si="20"/>
        <v>4182.726502500946</v>
      </c>
      <c r="Q53" s="10">
        <f t="shared" si="21"/>
        <v>1.374209118935354E-07</v>
      </c>
      <c r="R53" s="10">
        <f t="shared" si="22"/>
        <v>0.0032335420537541576</v>
      </c>
      <c r="S53" s="12">
        <f t="shared" si="23"/>
        <v>266.31031534838235</v>
      </c>
      <c r="T53" s="13">
        <f t="shared" si="24"/>
        <v>28.607771025760805</v>
      </c>
      <c r="U53" s="13">
        <f t="shared" si="25"/>
        <v>2.334411773842303</v>
      </c>
      <c r="V53" s="13">
        <f t="shared" si="26"/>
        <v>22.02257779233398</v>
      </c>
      <c r="W53" s="11">
        <f t="shared" si="5"/>
        <v>3.19636E-05</v>
      </c>
      <c r="X53" s="10">
        <f t="shared" si="27"/>
        <v>0.594043</v>
      </c>
      <c r="Y53" s="8">
        <f t="shared" si="6"/>
        <v>1036.3443313521543</v>
      </c>
      <c r="Z53" s="8">
        <f t="shared" si="7"/>
        <v>4182.193482400538</v>
      </c>
      <c r="AA53" s="10">
        <f t="shared" si="28"/>
        <v>1.3705967118195748E-07</v>
      </c>
      <c r="AB53" s="10">
        <f t="shared" si="35"/>
        <v>0.003230706495038391</v>
      </c>
      <c r="AC53" s="12">
        <f t="shared" si="29"/>
        <v>266.0279099264029</v>
      </c>
      <c r="AD53" s="13">
        <f t="shared" si="30"/>
        <v>28.65689934069084</v>
      </c>
      <c r="AE53" s="13">
        <f t="shared" si="36"/>
        <v>3.838356223802211</v>
      </c>
      <c r="AF53" s="13">
        <f t="shared" si="31"/>
        <v>22.059416761906512</v>
      </c>
      <c r="AG53" s="8">
        <f t="shared" si="10"/>
        <v>0.02736111111111111</v>
      </c>
      <c r="AH53" s="8">
        <f t="shared" si="37"/>
        <v>0.02736111111111111</v>
      </c>
      <c r="AI53" s="8">
        <f t="shared" si="12"/>
        <v>1</v>
      </c>
      <c r="AJ53" s="9">
        <f t="shared" si="32"/>
        <v>-19.68816601849168</v>
      </c>
      <c r="AK53" s="8">
        <v>36.748</v>
      </c>
      <c r="AL53" s="8">
        <f t="shared" si="13"/>
        <v>0.7275990612735119</v>
      </c>
      <c r="AM53" s="8">
        <v>49.819</v>
      </c>
      <c r="AN53" s="8">
        <v>35.217</v>
      </c>
      <c r="AO53" s="8">
        <f t="shared" si="38"/>
        <v>0.986400828169835</v>
      </c>
      <c r="AP53" s="9">
        <f t="shared" si="33"/>
        <v>-19.68816601849168</v>
      </c>
    </row>
    <row r="54" spans="1:42" s="8" customFormat="1" ht="12.75">
      <c r="A54" s="8">
        <f t="shared" si="15"/>
        <v>0.000962</v>
      </c>
      <c r="B54" s="7">
        <v>18052111</v>
      </c>
      <c r="C54" s="8">
        <v>0</v>
      </c>
      <c r="D54" s="8">
        <v>21.9</v>
      </c>
      <c r="E54" s="8">
        <f t="shared" si="16"/>
        <v>21.9</v>
      </c>
      <c r="F54" s="8">
        <f t="shared" si="34"/>
        <v>0</v>
      </c>
      <c r="G54" s="8">
        <v>58.2</v>
      </c>
      <c r="H54" s="10">
        <f t="shared" si="1"/>
        <v>5.82E-05</v>
      </c>
      <c r="I54" s="10">
        <f t="shared" si="2"/>
        <v>2.91E-05</v>
      </c>
      <c r="J54" s="10">
        <f t="shared" si="3"/>
        <v>0.020208333333333335</v>
      </c>
      <c r="K54" s="8">
        <v>0</v>
      </c>
      <c r="L54" s="8">
        <f t="shared" si="4"/>
        <v>0</v>
      </c>
      <c r="M54" s="11">
        <f t="shared" si="17"/>
        <v>5.4984399999999995E-05</v>
      </c>
      <c r="N54" s="10">
        <f t="shared" si="18"/>
        <v>0.6026889999999999</v>
      </c>
      <c r="O54" s="8">
        <f t="shared" si="19"/>
        <v>1030.3660204337973</v>
      </c>
      <c r="P54" s="8">
        <f t="shared" si="20"/>
        <v>4185.976880487635</v>
      </c>
      <c r="Q54" s="10">
        <f t="shared" si="21"/>
        <v>1.3973490744763275E-07</v>
      </c>
      <c r="R54" s="10">
        <f t="shared" si="22"/>
        <v>0.0035971536692502035</v>
      </c>
      <c r="S54" s="12">
        <f t="shared" si="23"/>
        <v>243.17066315950322</v>
      </c>
      <c r="T54" s="13">
        <f t="shared" si="24"/>
        <v>23.04210465783568</v>
      </c>
      <c r="U54" s="13">
        <f t="shared" si="25"/>
        <v>0</v>
      </c>
      <c r="V54" s="13">
        <f t="shared" si="26"/>
        <v>17.849351189269505</v>
      </c>
      <c r="W54" s="11">
        <f t="shared" si="5"/>
        <v>5.4984399999999995E-05</v>
      </c>
      <c r="X54" s="10">
        <f t="shared" si="27"/>
        <v>0.6026889999999999</v>
      </c>
      <c r="Y54" s="8">
        <f t="shared" si="6"/>
        <v>1030.3660204337973</v>
      </c>
      <c r="Z54" s="8">
        <f t="shared" si="7"/>
        <v>4185.976880487635</v>
      </c>
      <c r="AA54" s="10">
        <f t="shared" si="28"/>
        <v>1.3973490744763275E-07</v>
      </c>
      <c r="AB54" s="10">
        <f t="shared" si="35"/>
        <v>0.0035971536692502035</v>
      </c>
      <c r="AC54" s="12">
        <f t="shared" si="29"/>
        <v>243.17066315950322</v>
      </c>
      <c r="AD54" s="13">
        <f t="shared" si="30"/>
        <v>23.04210465783568</v>
      </c>
      <c r="AE54" s="13">
        <f t="shared" si="36"/>
        <v>0</v>
      </c>
      <c r="AF54" s="13">
        <f t="shared" si="31"/>
        <v>17.849351189269505</v>
      </c>
      <c r="AG54" s="8">
        <f t="shared" si="10"/>
        <v>0.020208333333333335</v>
      </c>
      <c r="AH54" s="8">
        <f t="shared" si="37"/>
        <v>0.020208333333333335</v>
      </c>
      <c r="AI54" s="8">
        <f t="shared" si="12"/>
        <v>1</v>
      </c>
      <c r="AJ54" s="9">
        <f t="shared" si="32"/>
        <v>-17.849351189269505</v>
      </c>
      <c r="AK54" s="8">
        <v>38.571</v>
      </c>
      <c r="AL54" s="8">
        <f t="shared" si="13"/>
        <v>0.5640480318403159</v>
      </c>
      <c r="AO54" s="8">
        <f t="shared" si="38"/>
        <v>0</v>
      </c>
      <c r="AP54" s="9">
        <f t="shared" si="33"/>
        <v>-17.849351189269505</v>
      </c>
    </row>
    <row r="55" spans="1:42" s="8" customFormat="1" ht="12.75">
      <c r="A55" s="8">
        <f t="shared" si="15"/>
        <v>0.000964</v>
      </c>
      <c r="B55" s="7">
        <v>18052106</v>
      </c>
      <c r="C55" s="8">
        <v>0</v>
      </c>
      <c r="D55" s="8">
        <v>21.8</v>
      </c>
      <c r="E55" s="8">
        <f t="shared" si="16"/>
        <v>21.8</v>
      </c>
      <c r="F55" s="8">
        <f t="shared" si="34"/>
        <v>0</v>
      </c>
      <c r="G55" s="8">
        <v>58.4</v>
      </c>
      <c r="H55" s="10">
        <f t="shared" si="1"/>
        <v>5.8399999999999997E-05</v>
      </c>
      <c r="I55" s="10">
        <f t="shared" si="2"/>
        <v>2.9199999999999998E-05</v>
      </c>
      <c r="J55" s="10">
        <f t="shared" si="3"/>
        <v>0.02027777777777778</v>
      </c>
      <c r="K55" s="8">
        <v>0</v>
      </c>
      <c r="L55" s="8">
        <f t="shared" si="4"/>
        <v>0</v>
      </c>
      <c r="M55" s="11">
        <f t="shared" si="17"/>
        <v>5.46096E-05</v>
      </c>
      <c r="N55" s="10">
        <f t="shared" si="18"/>
        <v>0.6025579999999999</v>
      </c>
      <c r="O55" s="8">
        <f t="shared" si="19"/>
        <v>1030.4569358242431</v>
      </c>
      <c r="P55" s="8">
        <f t="shared" si="20"/>
        <v>4185.9217754603515</v>
      </c>
      <c r="Q55" s="10">
        <f t="shared" si="21"/>
        <v>1.3969404785606737E-07</v>
      </c>
      <c r="R55" s="10">
        <f t="shared" si="22"/>
        <v>0.003592692833258179</v>
      </c>
      <c r="S55" s="12">
        <f t="shared" si="23"/>
        <v>243.41159132111707</v>
      </c>
      <c r="T55" s="13">
        <f t="shared" si="24"/>
        <v>23.100135770172155</v>
      </c>
      <c r="U55" s="13">
        <f t="shared" si="25"/>
        <v>0</v>
      </c>
      <c r="V55" s="13">
        <f t="shared" si="26"/>
        <v>17.89286131999457</v>
      </c>
      <c r="W55" s="11">
        <f t="shared" si="5"/>
        <v>5.46096E-05</v>
      </c>
      <c r="X55" s="10">
        <f t="shared" si="27"/>
        <v>0.6025579999999999</v>
      </c>
      <c r="Y55" s="8">
        <f t="shared" si="6"/>
        <v>1030.4569358242431</v>
      </c>
      <c r="Z55" s="8">
        <f t="shared" si="7"/>
        <v>4185.9217754603515</v>
      </c>
      <c r="AA55" s="10">
        <f t="shared" si="28"/>
        <v>1.3969404785606737E-07</v>
      </c>
      <c r="AB55" s="10">
        <f t="shared" si="35"/>
        <v>0.003592692833258179</v>
      </c>
      <c r="AC55" s="12">
        <f t="shared" si="29"/>
        <v>243.41159132111707</v>
      </c>
      <c r="AD55" s="13">
        <f t="shared" si="30"/>
        <v>23.100135770172155</v>
      </c>
      <c r="AE55" s="13">
        <f t="shared" si="36"/>
        <v>0</v>
      </c>
      <c r="AF55" s="13">
        <f t="shared" si="31"/>
        <v>17.89286131999457</v>
      </c>
      <c r="AG55" s="8">
        <f t="shared" si="10"/>
        <v>0.02027777777777778</v>
      </c>
      <c r="AH55" s="8">
        <f t="shared" si="37"/>
        <v>0.02027777777777778</v>
      </c>
      <c r="AI55" s="8">
        <f t="shared" si="12"/>
        <v>1</v>
      </c>
      <c r="AJ55" s="9">
        <f t="shared" si="32"/>
        <v>-17.89286131999457</v>
      </c>
      <c r="AK55" s="8">
        <v>50.685</v>
      </c>
      <c r="AL55" s="8">
        <f t="shared" si="13"/>
        <v>0.743745759901102</v>
      </c>
      <c r="AO55" s="8">
        <f t="shared" si="38"/>
        <v>0</v>
      </c>
      <c r="AP55" s="9">
        <f t="shared" si="33"/>
        <v>-17.89286131999457</v>
      </c>
    </row>
    <row r="56" spans="1:42" s="8" customFormat="1" ht="12.75">
      <c r="A56" s="8">
        <f t="shared" si="15"/>
        <v>0.0010761170922941581</v>
      </c>
      <c r="B56" s="7" t="s">
        <v>52</v>
      </c>
      <c r="C56" s="8">
        <v>1955</v>
      </c>
      <c r="D56" s="8">
        <v>15.3</v>
      </c>
      <c r="E56" s="8">
        <f t="shared" si="16"/>
        <v>16.194145385292096</v>
      </c>
      <c r="F56" s="8">
        <f t="shared" si="34"/>
        <v>0.8941453852920941</v>
      </c>
      <c r="G56" s="8">
        <v>79.1</v>
      </c>
      <c r="H56" s="10">
        <f aca="true" t="shared" si="39" ref="H56:H67">G56*0.000001</f>
        <v>7.909999999999998E-05</v>
      </c>
      <c r="I56" s="10">
        <f aca="true" t="shared" si="40" ref="I56:I67">H56/2</f>
        <v>3.954999999999999E-05</v>
      </c>
      <c r="J56" s="10">
        <f aca="true" t="shared" si="41" ref="J56:J67">I56/(b*h)</f>
        <v>0.027465277777777776</v>
      </c>
      <c r="K56" s="8">
        <v>3</v>
      </c>
      <c r="L56" s="8">
        <f t="shared" si="4"/>
        <v>0.03</v>
      </c>
      <c r="M56" s="11">
        <f t="shared" si="17"/>
        <v>3.487830456098328E-05</v>
      </c>
      <c r="N56" s="10">
        <f t="shared" si="18"/>
        <v>0.5952143304547326</v>
      </c>
      <c r="O56" s="8">
        <f t="shared" si="19"/>
        <v>1035.537016727947</v>
      </c>
      <c r="P56" s="8">
        <f t="shared" si="20"/>
        <v>4182.724492564232</v>
      </c>
      <c r="Q56" s="10">
        <f t="shared" si="21"/>
        <v>1.374195402950841E-07</v>
      </c>
      <c r="R56" s="10">
        <f t="shared" si="22"/>
        <v>0.00322943862388032</v>
      </c>
      <c r="S56" s="12">
        <f t="shared" si="23"/>
        <v>266.6347412569272</v>
      </c>
      <c r="T56" s="13">
        <f t="shared" si="24"/>
        <v>28.68181443015162</v>
      </c>
      <c r="U56" s="13">
        <f t="shared" si="25"/>
        <v>2.3129283076498273</v>
      </c>
      <c r="V56" s="13">
        <f t="shared" si="26"/>
        <v>22.078099403266627</v>
      </c>
      <c r="W56" s="11">
        <f t="shared" si="5"/>
        <v>3.19636E-05</v>
      </c>
      <c r="X56" s="10">
        <f t="shared" si="27"/>
        <v>0.594043</v>
      </c>
      <c r="Y56" s="8">
        <f t="shared" si="6"/>
        <v>1036.3443313521543</v>
      </c>
      <c r="Z56" s="8">
        <f t="shared" si="7"/>
        <v>4182.193482400538</v>
      </c>
      <c r="AA56" s="10">
        <f t="shared" si="28"/>
        <v>1.3705967118195748E-07</v>
      </c>
      <c r="AB56" s="10">
        <f t="shared" si="35"/>
        <v>0.003226617397466449</v>
      </c>
      <c r="AC56" s="12">
        <f t="shared" si="29"/>
        <v>266.35307451870676</v>
      </c>
      <c r="AD56" s="13">
        <f t="shared" si="30"/>
        <v>28.730881597475882</v>
      </c>
      <c r="AE56" s="13">
        <f t="shared" si="36"/>
        <v>3.8092962180929906</v>
      </c>
      <c r="AF56" s="13">
        <f t="shared" si="31"/>
        <v>22.114892558460404</v>
      </c>
      <c r="AG56" s="8">
        <f t="shared" si="10"/>
        <v>0.028221202854230375</v>
      </c>
      <c r="AH56" s="8">
        <f t="shared" si="37"/>
        <v>0.026709352701325174</v>
      </c>
      <c r="AI56" s="8">
        <f t="shared" si="12"/>
        <v>0.9464285714285714</v>
      </c>
      <c r="AJ56" s="9">
        <f t="shared" si="32"/>
        <v>-19.7651710956168</v>
      </c>
      <c r="AK56" s="8">
        <v>49.498</v>
      </c>
      <c r="AL56" s="8">
        <f t="shared" si="13"/>
        <v>0.983776263486655</v>
      </c>
      <c r="AM56" s="8">
        <v>50.131</v>
      </c>
      <c r="AN56" s="8">
        <v>35.217</v>
      </c>
      <c r="AO56" s="8">
        <f t="shared" si="38"/>
        <v>0.996357183418512</v>
      </c>
      <c r="AP56" s="9">
        <f t="shared" si="33"/>
        <v>-19.7651710956168</v>
      </c>
    </row>
    <row r="57" spans="1:42" s="8" customFormat="1" ht="12.75">
      <c r="A57" s="8">
        <f t="shared" si="15"/>
        <v>0.0010564876687849428</v>
      </c>
      <c r="B57" s="7" t="s">
        <v>44</v>
      </c>
      <c r="C57" s="8">
        <v>985</v>
      </c>
      <c r="D57" s="8">
        <v>16.7</v>
      </c>
      <c r="E57" s="8">
        <f t="shared" si="16"/>
        <v>17.175616560752854</v>
      </c>
      <c r="F57" s="8">
        <f t="shared" si="34"/>
        <v>0.47561656075285375</v>
      </c>
      <c r="G57" s="8">
        <v>75</v>
      </c>
      <c r="H57" s="10">
        <f t="shared" si="39"/>
        <v>7.5E-05</v>
      </c>
      <c r="I57" s="10">
        <f t="shared" si="40"/>
        <v>3.75E-05</v>
      </c>
      <c r="J57" s="10">
        <f t="shared" si="41"/>
        <v>0.026041666666666668</v>
      </c>
      <c r="K57" s="8">
        <v>2</v>
      </c>
      <c r="L57" s="8">
        <f t="shared" si="4"/>
        <v>0.02</v>
      </c>
      <c r="M57" s="11">
        <f t="shared" si="17"/>
        <v>3.8151305291186016E-05</v>
      </c>
      <c r="N57" s="10">
        <f t="shared" si="18"/>
        <v>0.5965000576945861</v>
      </c>
      <c r="O57" s="8">
        <f t="shared" si="19"/>
        <v>1034.649922825386</v>
      </c>
      <c r="P57" s="8">
        <f t="shared" si="20"/>
        <v>4183.300393538582</v>
      </c>
      <c r="Q57" s="10">
        <f t="shared" si="21"/>
        <v>1.3781548217195613E-07</v>
      </c>
      <c r="R57" s="10">
        <f t="shared" si="22"/>
        <v>0.003290393224057859</v>
      </c>
      <c r="S57" s="12">
        <f t="shared" si="23"/>
        <v>262.41366149916325</v>
      </c>
      <c r="T57" s="13">
        <f t="shared" si="24"/>
        <v>27.612726382182906</v>
      </c>
      <c r="U57" s="13">
        <f t="shared" si="25"/>
        <v>1.4357062924462043</v>
      </c>
      <c r="V57" s="13">
        <f t="shared" si="26"/>
        <v>21.276447038455323</v>
      </c>
      <c r="W57" s="11">
        <f t="shared" si="5"/>
        <v>3.65556E-05</v>
      </c>
      <c r="X57" s="10">
        <f t="shared" si="27"/>
        <v>0.595877</v>
      </c>
      <c r="Y57" s="8">
        <f t="shared" si="6"/>
        <v>1035.0799268723736</v>
      </c>
      <c r="Z57" s="8">
        <f t="shared" si="7"/>
        <v>4183.022213277709</v>
      </c>
      <c r="AA57" s="10">
        <f t="shared" si="28"/>
        <v>1.3762348947788054E-07</v>
      </c>
      <c r="AB57" s="10">
        <f t="shared" si="35"/>
        <v>0.0032888647023776745</v>
      </c>
      <c r="AC57" s="12">
        <f t="shared" si="29"/>
        <v>262.26672021154184</v>
      </c>
      <c r="AD57" s="13">
        <f t="shared" si="30"/>
        <v>27.637841476913735</v>
      </c>
      <c r="AE57" s="13">
        <f t="shared" si="36"/>
        <v>2.4415346036275203</v>
      </c>
      <c r="AF57" s="13">
        <f t="shared" si="31"/>
        <v>21.29527936967864</v>
      </c>
      <c r="AG57" s="8">
        <f t="shared" si="10"/>
        <v>0.026515151515151512</v>
      </c>
      <c r="AH57" s="8">
        <f t="shared" si="37"/>
        <v>0.025568181818181816</v>
      </c>
      <c r="AI57" s="8">
        <f t="shared" si="12"/>
        <v>0.9642857142857143</v>
      </c>
      <c r="AJ57" s="9">
        <f t="shared" si="32"/>
        <v>-19.840740746009118</v>
      </c>
      <c r="AK57" s="8">
        <v>49.94</v>
      </c>
      <c r="AL57" s="8">
        <f t="shared" si="13"/>
        <v>0.9411135065052538</v>
      </c>
      <c r="AM57" s="8">
        <v>50.8</v>
      </c>
      <c r="AN57" s="8">
        <v>34.957</v>
      </c>
      <c r="AO57" s="8">
        <f t="shared" si="38"/>
        <v>0.9573201067374227</v>
      </c>
      <c r="AP57" s="9">
        <f t="shared" si="33"/>
        <v>-19.840740746009118</v>
      </c>
    </row>
    <row r="58" spans="1:42" s="8" customFormat="1" ht="12.75">
      <c r="A58" s="8">
        <f t="shared" si="15"/>
        <v>0.001074635059189887</v>
      </c>
      <c r="B58" s="7" t="s">
        <v>47</v>
      </c>
      <c r="C58" s="8">
        <v>1470</v>
      </c>
      <c r="D58" s="8">
        <v>15.6</v>
      </c>
      <c r="E58" s="8">
        <f t="shared" si="16"/>
        <v>16.268247040505656</v>
      </c>
      <c r="F58" s="8">
        <f t="shared" si="34"/>
        <v>0.6682470405056566</v>
      </c>
      <c r="G58" s="8">
        <v>79.6</v>
      </c>
      <c r="H58" s="10">
        <f t="shared" si="39"/>
        <v>7.96E-05</v>
      </c>
      <c r="I58" s="10">
        <f t="shared" si="40"/>
        <v>3.98E-05</v>
      </c>
      <c r="J58" s="10">
        <f t="shared" si="41"/>
        <v>0.02763888888888889</v>
      </c>
      <c r="K58" s="8">
        <v>6</v>
      </c>
      <c r="L58" s="8">
        <f t="shared" si="4"/>
        <v>0.06</v>
      </c>
      <c r="M58" s="11">
        <f t="shared" si="17"/>
        <v>3.512272855184815E-05</v>
      </c>
      <c r="N58" s="10">
        <f t="shared" si="18"/>
        <v>0.5953114036230623</v>
      </c>
      <c r="O58" s="8">
        <f t="shared" si="19"/>
        <v>1035.4700747670224</v>
      </c>
      <c r="P58" s="8">
        <f t="shared" si="20"/>
        <v>4182.768225654915</v>
      </c>
      <c r="Q58" s="10">
        <f t="shared" si="21"/>
        <v>1.3744940031338774E-07</v>
      </c>
      <c r="R58" s="10">
        <f t="shared" si="22"/>
        <v>0.0032228966653510467</v>
      </c>
      <c r="S58" s="12">
        <f t="shared" si="23"/>
        <v>267.19870586177376</v>
      </c>
      <c r="T58" s="13">
        <f t="shared" si="24"/>
        <v>28.80063451024122</v>
      </c>
      <c r="U58" s="13">
        <f t="shared" si="25"/>
        <v>1.7247141645152084</v>
      </c>
      <c r="V58" s="13">
        <f t="shared" si="26"/>
        <v>22.167197021027917</v>
      </c>
      <c r="W58" s="11">
        <f t="shared" si="5"/>
        <v>3.29344E-05</v>
      </c>
      <c r="X58" s="10">
        <f t="shared" si="27"/>
        <v>0.594436</v>
      </c>
      <c r="Y58" s="8">
        <f t="shared" si="6"/>
        <v>1036.073554647517</v>
      </c>
      <c r="Z58" s="8">
        <f t="shared" si="7"/>
        <v>4182.372329724372</v>
      </c>
      <c r="AA58" s="10">
        <f t="shared" si="28"/>
        <v>1.371803232268396E-07</v>
      </c>
      <c r="AB58" s="10">
        <f t="shared" si="35"/>
        <v>0.0032207924063656357</v>
      </c>
      <c r="AC58" s="12">
        <f t="shared" si="29"/>
        <v>266.98788659260975</v>
      </c>
      <c r="AD58" s="13">
        <f t="shared" si="30"/>
        <v>28.83744488179784</v>
      </c>
      <c r="AE58" s="13">
        <f t="shared" si="36"/>
        <v>2.9143131689967428</v>
      </c>
      <c r="AF58" s="13">
        <f t="shared" si="31"/>
        <v>22.19479942515398</v>
      </c>
      <c r="AG58" s="8">
        <f t="shared" si="10"/>
        <v>0.029203354297693922</v>
      </c>
      <c r="AH58" s="8">
        <f t="shared" si="37"/>
        <v>0.026074423480083857</v>
      </c>
      <c r="AI58" s="8">
        <f t="shared" si="12"/>
        <v>0.8928571428571428</v>
      </c>
      <c r="AJ58" s="9">
        <f t="shared" si="32"/>
        <v>-20.442482856512708</v>
      </c>
      <c r="AK58" s="8">
        <v>50.444</v>
      </c>
      <c r="AL58" s="8">
        <f t="shared" si="13"/>
        <v>1.00891548948958</v>
      </c>
      <c r="AM58" s="8">
        <v>50.795</v>
      </c>
      <c r="AN58" s="8">
        <v>35.478</v>
      </c>
      <c r="AO58" s="8">
        <f t="shared" si="38"/>
        <v>1</v>
      </c>
      <c r="AP58" s="9">
        <f t="shared" si="33"/>
        <v>-20.442482856512708</v>
      </c>
    </row>
    <row r="59" spans="1:42" s="8" customFormat="1" ht="12.75">
      <c r="A59" s="8">
        <f t="shared" si="15"/>
        <v>0.0010747065028209233</v>
      </c>
      <c r="B59" s="7" t="s">
        <v>48</v>
      </c>
      <c r="C59" s="8">
        <v>1475</v>
      </c>
      <c r="D59" s="8">
        <v>15.6</v>
      </c>
      <c r="E59" s="8">
        <f t="shared" si="16"/>
        <v>16.264674858953832</v>
      </c>
      <c r="F59" s="8">
        <f t="shared" si="34"/>
        <v>0.6646748589538308</v>
      </c>
      <c r="G59" s="8">
        <v>80.3</v>
      </c>
      <c r="H59" s="10">
        <f t="shared" si="39"/>
        <v>8.03E-05</v>
      </c>
      <c r="I59" s="10">
        <f t="shared" si="40"/>
        <v>4.015E-05</v>
      </c>
      <c r="J59" s="10">
        <f t="shared" si="41"/>
        <v>0.027881944444444445</v>
      </c>
      <c r="K59" s="8">
        <v>-2</v>
      </c>
      <c r="L59" s="8">
        <f t="shared" si="4"/>
        <v>-0.02</v>
      </c>
      <c r="M59" s="11">
        <f t="shared" si="17"/>
        <v>3.5110935648607055E-05</v>
      </c>
      <c r="N59" s="10">
        <f t="shared" si="18"/>
        <v>0.5953067240652294</v>
      </c>
      <c r="O59" s="8">
        <f t="shared" si="19"/>
        <v>1035.4733019325636</v>
      </c>
      <c r="P59" s="8">
        <f t="shared" si="20"/>
        <v>4182.766118388989</v>
      </c>
      <c r="Q59" s="10">
        <f t="shared" si="21"/>
        <v>1.3744796073956875E-07</v>
      </c>
      <c r="R59" s="10">
        <f t="shared" si="22"/>
        <v>0.0032134940438120693</v>
      </c>
      <c r="S59" s="12">
        <f t="shared" si="23"/>
        <v>267.9505610456621</v>
      </c>
      <c r="T59" s="13">
        <f t="shared" si="24"/>
        <v>28.97245838779788</v>
      </c>
      <c r="U59" s="13">
        <f t="shared" si="25"/>
        <v>1.694698039090078</v>
      </c>
      <c r="V59" s="13">
        <f t="shared" si="26"/>
        <v>22.296039958504938</v>
      </c>
      <c r="W59" s="11">
        <f t="shared" si="5"/>
        <v>3.29344E-05</v>
      </c>
      <c r="X59" s="10">
        <f t="shared" si="27"/>
        <v>0.594436</v>
      </c>
      <c r="Y59" s="8">
        <f t="shared" si="6"/>
        <v>1036.073554647517</v>
      </c>
      <c r="Z59" s="8">
        <f t="shared" si="7"/>
        <v>4182.372329724372</v>
      </c>
      <c r="AA59" s="10">
        <f t="shared" si="28"/>
        <v>1.371803232268396E-07</v>
      </c>
      <c r="AB59" s="10">
        <f t="shared" si="35"/>
        <v>0.0032114071343413097</v>
      </c>
      <c r="AC59" s="12">
        <f t="shared" si="29"/>
        <v>267.7402987494071</v>
      </c>
      <c r="AD59" s="13">
        <f t="shared" si="30"/>
        <v>29.00928795124497</v>
      </c>
      <c r="AE59" s="13">
        <f t="shared" si="36"/>
        <v>2.8734652490073804</v>
      </c>
      <c r="AF59" s="13">
        <f t="shared" si="31"/>
        <v>22.323656817161005</v>
      </c>
      <c r="AG59" s="8">
        <f t="shared" si="10"/>
        <v>0.02838888888888889</v>
      </c>
      <c r="AH59" s="8">
        <f t="shared" si="37"/>
        <v>0.027375000000000003</v>
      </c>
      <c r="AI59" s="8">
        <f t="shared" si="12"/>
        <v>0.9642857142857143</v>
      </c>
      <c r="AJ59" s="9">
        <f t="shared" si="32"/>
        <v>-20.60134191941486</v>
      </c>
      <c r="AK59" s="8">
        <v>47.325</v>
      </c>
      <c r="AL59" s="8">
        <f t="shared" si="13"/>
        <v>0.9548570803998131</v>
      </c>
      <c r="AM59" s="8">
        <v>50.432</v>
      </c>
      <c r="AN59" s="8">
        <v>35.739</v>
      </c>
      <c r="AO59" s="8">
        <f t="shared" si="38"/>
        <v>1</v>
      </c>
      <c r="AP59" s="9">
        <f t="shared" si="33"/>
        <v>-20.60134191941486</v>
      </c>
    </row>
    <row r="60" spans="1:42" s="8" customFormat="1" ht="12.75">
      <c r="A60" s="8">
        <f t="shared" si="15"/>
        <v>0.0010570154968277206</v>
      </c>
      <c r="B60" s="7" t="s">
        <v>45</v>
      </c>
      <c r="C60" s="8">
        <v>975</v>
      </c>
      <c r="D60" s="8">
        <v>16.7</v>
      </c>
      <c r="E60" s="8">
        <f t="shared" si="16"/>
        <v>17.149225158613973</v>
      </c>
      <c r="F60" s="8">
        <f t="shared" si="34"/>
        <v>0.4492251586139751</v>
      </c>
      <c r="G60" s="8">
        <v>78.6</v>
      </c>
      <c r="H60" s="10">
        <f t="shared" si="39"/>
        <v>7.859999999999999E-05</v>
      </c>
      <c r="I60" s="10">
        <f t="shared" si="40"/>
        <v>3.929999999999999E-05</v>
      </c>
      <c r="J60" s="10">
        <f t="shared" si="41"/>
        <v>0.027291666666666665</v>
      </c>
      <c r="K60" s="8">
        <v>5</v>
      </c>
      <c r="L60" s="8">
        <f t="shared" si="4"/>
        <v>0.05</v>
      </c>
      <c r="M60" s="11">
        <f t="shared" si="17"/>
        <v>3.806228725886149E-05</v>
      </c>
      <c r="N60" s="10">
        <f t="shared" si="18"/>
        <v>0.5964654849577843</v>
      </c>
      <c r="O60" s="8">
        <f t="shared" si="19"/>
        <v>1034.6737892778374</v>
      </c>
      <c r="P60" s="8">
        <f t="shared" si="20"/>
        <v>4183.285001525631</v>
      </c>
      <c r="Q60" s="10">
        <f t="shared" si="21"/>
        <v>1.3780482276237812E-07</v>
      </c>
      <c r="R60" s="10">
        <f t="shared" si="22"/>
        <v>0.0032392926860199517</v>
      </c>
      <c r="S60" s="12">
        <f t="shared" si="23"/>
        <v>266.391357922809</v>
      </c>
      <c r="T60" s="13">
        <f t="shared" si="24"/>
        <v>28.50659209492799</v>
      </c>
      <c r="U60" s="13">
        <f t="shared" si="25"/>
        <v>1.270014980464265</v>
      </c>
      <c r="V60" s="13">
        <f t="shared" si="26"/>
        <v>21.946708638427516</v>
      </c>
      <c r="W60" s="11">
        <f t="shared" si="5"/>
        <v>3.65556E-05</v>
      </c>
      <c r="X60" s="10">
        <f t="shared" si="27"/>
        <v>0.595877</v>
      </c>
      <c r="Y60" s="8">
        <f t="shared" si="6"/>
        <v>1035.0799268723736</v>
      </c>
      <c r="Z60" s="8">
        <f t="shared" si="7"/>
        <v>4183.022213277709</v>
      </c>
      <c r="AA60" s="10">
        <f t="shared" si="28"/>
        <v>1.3762348947788054E-07</v>
      </c>
      <c r="AB60" s="10">
        <f t="shared" si="35"/>
        <v>0.0032378713747029265</v>
      </c>
      <c r="AC60" s="12">
        <f t="shared" si="29"/>
        <v>266.2505350641401</v>
      </c>
      <c r="AD60" s="13">
        <f t="shared" si="30"/>
        <v>28.5310726825949</v>
      </c>
      <c r="AE60" s="13">
        <f t="shared" si="36"/>
        <v>2.200435808565935</v>
      </c>
      <c r="AF60" s="13">
        <f t="shared" si="31"/>
        <v>21.96506542941885</v>
      </c>
      <c r="AG60" s="8">
        <f t="shared" si="10"/>
        <v>0.02856697819314642</v>
      </c>
      <c r="AH60" s="8">
        <f t="shared" si="37"/>
        <v>0.026016355140186916</v>
      </c>
      <c r="AI60" s="8">
        <f t="shared" si="12"/>
        <v>0.9107142857142857</v>
      </c>
      <c r="AJ60" s="9">
        <f t="shared" si="32"/>
        <v>-20.676693657963252</v>
      </c>
      <c r="AK60" s="8">
        <v>39.151</v>
      </c>
      <c r="AL60" s="8">
        <f t="shared" si="13"/>
        <v>0.7732102636776168</v>
      </c>
      <c r="AM60" s="8">
        <v>49.262</v>
      </c>
      <c r="AN60" s="8">
        <v>34.957</v>
      </c>
      <c r="AO60" s="8">
        <f t="shared" si="38"/>
        <v>0.9728968355670802</v>
      </c>
      <c r="AP60" s="9">
        <f t="shared" si="33"/>
        <v>-20.676693657963252</v>
      </c>
    </row>
    <row r="61" spans="1:42" s="8" customFormat="1" ht="12.75">
      <c r="A61" s="8">
        <f t="shared" si="15"/>
        <v>0.0010570491375127967</v>
      </c>
      <c r="B61" s="7" t="s">
        <v>46</v>
      </c>
      <c r="C61" s="8">
        <v>980</v>
      </c>
      <c r="D61" s="8">
        <v>16.7</v>
      </c>
      <c r="E61" s="8">
        <f t="shared" si="16"/>
        <v>17.147543124360165</v>
      </c>
      <c r="F61" s="8">
        <f t="shared" si="34"/>
        <v>0.44754312436016624</v>
      </c>
      <c r="G61" s="8">
        <v>79.3</v>
      </c>
      <c r="H61" s="10">
        <f t="shared" si="39"/>
        <v>7.929999999999999E-05</v>
      </c>
      <c r="I61" s="10">
        <f t="shared" si="40"/>
        <v>3.9649999999999995E-05</v>
      </c>
      <c r="J61" s="10">
        <f t="shared" si="41"/>
        <v>0.02753472222222222</v>
      </c>
      <c r="K61" s="8">
        <v>4</v>
      </c>
      <c r="L61" s="8">
        <f t="shared" si="4"/>
        <v>0.04</v>
      </c>
      <c r="M61" s="11">
        <f t="shared" si="17"/>
        <v>3.8056615656791995E-05</v>
      </c>
      <c r="N61" s="10">
        <f t="shared" si="18"/>
        <v>0.5964632814929117</v>
      </c>
      <c r="O61" s="8">
        <f t="shared" si="19"/>
        <v>1034.6753103624521</v>
      </c>
      <c r="P61" s="8">
        <f t="shared" si="20"/>
        <v>4183.28402035436</v>
      </c>
      <c r="Q61" s="10">
        <f t="shared" si="21"/>
        <v>1.3780414341743742E-07</v>
      </c>
      <c r="R61" s="10">
        <f t="shared" si="22"/>
        <v>0.0032297288141423836</v>
      </c>
      <c r="S61" s="12">
        <f t="shared" si="23"/>
        <v>267.1511455319404</v>
      </c>
      <c r="T61" s="13">
        <f t="shared" si="24"/>
        <v>28.678707211762646</v>
      </c>
      <c r="U61" s="13">
        <f t="shared" si="25"/>
        <v>1.2499437530729576</v>
      </c>
      <c r="V61" s="13">
        <f t="shared" si="26"/>
        <v>22.075769447550613</v>
      </c>
      <c r="W61" s="11">
        <f t="shared" si="5"/>
        <v>3.65556E-05</v>
      </c>
      <c r="X61" s="10">
        <f t="shared" si="27"/>
        <v>0.595877</v>
      </c>
      <c r="Y61" s="8">
        <f t="shared" si="6"/>
        <v>1035.0799268723736</v>
      </c>
      <c r="Z61" s="8">
        <f t="shared" si="7"/>
        <v>4183.022213277709</v>
      </c>
      <c r="AA61" s="10">
        <f t="shared" si="28"/>
        <v>1.3762348947788054E-07</v>
      </c>
      <c r="AB61" s="10">
        <f t="shared" si="35"/>
        <v>0.003228317003608443</v>
      </c>
      <c r="AC61" s="12">
        <f t="shared" si="29"/>
        <v>267.01046402271385</v>
      </c>
      <c r="AD61" s="13">
        <f t="shared" si="30"/>
        <v>28.70324177031622</v>
      </c>
      <c r="AE61" s="13">
        <f t="shared" si="36"/>
        <v>2.172845671480181</v>
      </c>
      <c r="AF61" s="13">
        <f t="shared" si="31"/>
        <v>22.09416675229858</v>
      </c>
      <c r="AG61" s="8">
        <f t="shared" si="10"/>
        <v>0.028554526748971198</v>
      </c>
      <c r="AH61" s="8">
        <f t="shared" si="37"/>
        <v>0.026514917695473254</v>
      </c>
      <c r="AI61" s="8">
        <f t="shared" si="12"/>
        <v>0.9285714285714285</v>
      </c>
      <c r="AJ61" s="9">
        <f t="shared" si="32"/>
        <v>-20.825825694477654</v>
      </c>
      <c r="AK61" s="8">
        <v>49.789</v>
      </c>
      <c r="AL61" s="8">
        <f t="shared" si="13"/>
        <v>0.9920619569532596</v>
      </c>
      <c r="AM61" s="8">
        <v>51.33</v>
      </c>
      <c r="AN61" s="8">
        <v>33.913</v>
      </c>
      <c r="AO61" s="8">
        <f t="shared" si="38"/>
        <v>1</v>
      </c>
      <c r="AP61" s="9">
        <f t="shared" si="33"/>
        <v>-20.825825694477654</v>
      </c>
    </row>
    <row r="62" spans="1:42" s="8" customFormat="1" ht="12.75">
      <c r="A62" s="8">
        <f t="shared" si="15"/>
        <v>0.0010750922875032666</v>
      </c>
      <c r="B62" s="7" t="s">
        <v>49</v>
      </c>
      <c r="C62" s="8">
        <v>1475</v>
      </c>
      <c r="D62" s="8">
        <v>15.6</v>
      </c>
      <c r="E62" s="8">
        <f t="shared" si="16"/>
        <v>16.24538562483667</v>
      </c>
      <c r="F62" s="8">
        <f t="shared" si="34"/>
        <v>0.64538562483667</v>
      </c>
      <c r="G62" s="8">
        <v>82.7</v>
      </c>
      <c r="H62" s="10">
        <f t="shared" si="39"/>
        <v>8.27E-05</v>
      </c>
      <c r="I62" s="10">
        <f t="shared" si="40"/>
        <v>4.135E-05</v>
      </c>
      <c r="J62" s="10">
        <f t="shared" si="41"/>
        <v>0.02871527777777778</v>
      </c>
      <c r="K62" s="8">
        <v>6</v>
      </c>
      <c r="L62" s="8">
        <f t="shared" si="4"/>
        <v>0.06</v>
      </c>
      <c r="M62" s="11">
        <f t="shared" si="17"/>
        <v>3.504727341365933E-05</v>
      </c>
      <c r="N62" s="10">
        <f t="shared" si="18"/>
        <v>0.595281455168536</v>
      </c>
      <c r="O62" s="8">
        <f t="shared" si="19"/>
        <v>1035.4907279092704</v>
      </c>
      <c r="P62" s="8">
        <f t="shared" si="20"/>
        <v>4182.754737807345</v>
      </c>
      <c r="Q62" s="10">
        <f t="shared" si="21"/>
        <v>1.3744018748302658E-07</v>
      </c>
      <c r="R62" s="10">
        <f t="shared" si="22"/>
        <v>0.003182045737406532</v>
      </c>
      <c r="S62" s="12">
        <f t="shared" si="23"/>
        <v>270.4921493064869</v>
      </c>
      <c r="T62" s="13">
        <f t="shared" si="24"/>
        <v>29.55843560192434</v>
      </c>
      <c r="U62" s="13">
        <f t="shared" si="25"/>
        <v>1.5781663167158095</v>
      </c>
      <c r="V62" s="13">
        <f t="shared" si="26"/>
        <v>22.73543988841599</v>
      </c>
      <c r="W62" s="11">
        <f t="shared" si="5"/>
        <v>3.29344E-05</v>
      </c>
      <c r="X62" s="10">
        <f t="shared" si="27"/>
        <v>0.594436</v>
      </c>
      <c r="Y62" s="8">
        <f t="shared" si="6"/>
        <v>1036.073554647517</v>
      </c>
      <c r="Z62" s="8">
        <f t="shared" si="7"/>
        <v>4182.372329724372</v>
      </c>
      <c r="AA62" s="10">
        <f t="shared" si="28"/>
        <v>1.371803232268396E-07</v>
      </c>
      <c r="AB62" s="10">
        <f t="shared" si="35"/>
        <v>0.003180039194419767</v>
      </c>
      <c r="AC62" s="12">
        <f t="shared" si="29"/>
        <v>270.2861153580933</v>
      </c>
      <c r="AD62" s="13">
        <f t="shared" si="30"/>
        <v>29.594911142997493</v>
      </c>
      <c r="AE62" s="13">
        <f t="shared" si="36"/>
        <v>2.709106140764903</v>
      </c>
      <c r="AF62" s="13">
        <f t="shared" si="31"/>
        <v>22.762791487255196</v>
      </c>
      <c r="AG62" s="8">
        <f t="shared" si="10"/>
        <v>0.03034067085953879</v>
      </c>
      <c r="AH62" s="8">
        <f t="shared" si="37"/>
        <v>0.027089884696016777</v>
      </c>
      <c r="AI62" s="8">
        <f t="shared" si="12"/>
        <v>0.8928571428571428</v>
      </c>
      <c r="AJ62" s="9">
        <f t="shared" si="32"/>
        <v>-21.15727357170018</v>
      </c>
      <c r="AK62" s="8">
        <v>51.196</v>
      </c>
      <c r="AL62" s="8">
        <f t="shared" si="13"/>
        <v>1.0638337026930595</v>
      </c>
      <c r="AM62" s="8">
        <v>51.36</v>
      </c>
      <c r="AN62" s="8">
        <v>35.478</v>
      </c>
      <c r="AO62" s="8">
        <f t="shared" si="38"/>
        <v>1</v>
      </c>
      <c r="AP62" s="9">
        <f t="shared" si="33"/>
        <v>-21.15727357170018</v>
      </c>
    </row>
    <row r="63" spans="1:42" s="8" customFormat="1" ht="12.75">
      <c r="A63" s="8">
        <f t="shared" si="15"/>
        <v>0.0010606811458771827</v>
      </c>
      <c r="B63" s="7" t="s">
        <v>42</v>
      </c>
      <c r="C63" s="17">
        <v>575</v>
      </c>
      <c r="D63" s="8">
        <v>16.7</v>
      </c>
      <c r="E63" s="8">
        <f t="shared" si="16"/>
        <v>16.96594270614086</v>
      </c>
      <c r="F63" s="8">
        <f t="shared" si="34"/>
        <v>0.265942706140861</v>
      </c>
      <c r="G63" s="8">
        <v>78.3</v>
      </c>
      <c r="H63" s="10">
        <f t="shared" si="39"/>
        <v>7.829999999999999E-05</v>
      </c>
      <c r="I63" s="10">
        <f t="shared" si="40"/>
        <v>3.9149999999999996E-05</v>
      </c>
      <c r="J63" s="10">
        <f t="shared" si="41"/>
        <v>0.0271875</v>
      </c>
      <c r="K63" s="8">
        <v>0</v>
      </c>
      <c r="L63" s="8">
        <f t="shared" si="4"/>
        <v>0</v>
      </c>
      <c r="M63" s="11">
        <f t="shared" si="17"/>
        <v>3.744561388860389E-05</v>
      </c>
      <c r="N63" s="10">
        <f t="shared" si="18"/>
        <v>0.5962253849450445</v>
      </c>
      <c r="O63" s="8">
        <f t="shared" si="19"/>
        <v>1034.8395169432843</v>
      </c>
      <c r="P63" s="8">
        <f t="shared" si="20"/>
        <v>4183.177965526882</v>
      </c>
      <c r="Q63" s="10">
        <f t="shared" si="21"/>
        <v>1.3773081484109878E-07</v>
      </c>
      <c r="R63" s="10">
        <f t="shared" si="22"/>
        <v>0.0032428433563175627</v>
      </c>
      <c r="S63" s="12">
        <f t="shared" si="23"/>
        <v>266.00670837738693</v>
      </c>
      <c r="T63" s="13">
        <f t="shared" si="24"/>
        <v>28.442679310771886</v>
      </c>
      <c r="U63" s="13">
        <f t="shared" si="25"/>
        <v>0.7443924691654263</v>
      </c>
      <c r="V63" s="13">
        <f t="shared" si="26"/>
        <v>21.89878360845319</v>
      </c>
      <c r="W63" s="11">
        <f t="shared" si="5"/>
        <v>3.65556E-05</v>
      </c>
      <c r="X63" s="10">
        <f t="shared" si="27"/>
        <v>0.595877</v>
      </c>
      <c r="Y63" s="8">
        <f t="shared" si="6"/>
        <v>1035.0799268723736</v>
      </c>
      <c r="Z63" s="8">
        <f t="shared" si="7"/>
        <v>4183.022213277709</v>
      </c>
      <c r="AA63" s="10">
        <f t="shared" si="28"/>
        <v>1.3762348947788054E-07</v>
      </c>
      <c r="AB63" s="10">
        <f t="shared" si="35"/>
        <v>0.003242000903899925</v>
      </c>
      <c r="AC63" s="12">
        <f t="shared" si="29"/>
        <v>265.9234206081123</v>
      </c>
      <c r="AD63" s="13">
        <f t="shared" si="30"/>
        <v>28.457137796430718</v>
      </c>
      <c r="AE63" s="13">
        <f t="shared" si="36"/>
        <v>1.3076559695600478</v>
      </c>
      <c r="AF63" s="13">
        <f t="shared" si="31"/>
        <v>21.909625306681107</v>
      </c>
      <c r="AG63" s="8">
        <f t="shared" si="10"/>
        <v>0.0271875</v>
      </c>
      <c r="AH63" s="8">
        <f t="shared" si="37"/>
        <v>0.0271875</v>
      </c>
      <c r="AI63" s="8">
        <f t="shared" si="12"/>
        <v>1</v>
      </c>
      <c r="AJ63" s="9">
        <f t="shared" si="32"/>
        <v>-21.154391139287764</v>
      </c>
      <c r="AK63" s="8">
        <v>49.237</v>
      </c>
      <c r="AL63" s="8">
        <f t="shared" si="13"/>
        <v>0.9686916373942802</v>
      </c>
      <c r="AM63" s="8">
        <v>50.179</v>
      </c>
      <c r="AN63" s="8">
        <v>34.696</v>
      </c>
      <c r="AO63" s="8">
        <f t="shared" si="38"/>
        <v>0.987224600865357</v>
      </c>
      <c r="AP63" s="9">
        <f t="shared" si="33"/>
        <v>-21.154391139287764</v>
      </c>
    </row>
    <row r="64" spans="1:42" s="8" customFormat="1" ht="12.75">
      <c r="A64" s="8">
        <f t="shared" si="15"/>
        <v>0.0010607564008008254</v>
      </c>
      <c r="B64" s="7" t="s">
        <v>43</v>
      </c>
      <c r="C64" s="17">
        <v>577</v>
      </c>
      <c r="D64" s="8">
        <v>16.7</v>
      </c>
      <c r="E64" s="8">
        <f t="shared" si="16"/>
        <v>16.962179959958725</v>
      </c>
      <c r="F64" s="8">
        <f t="shared" si="34"/>
        <v>0.2621799599587263</v>
      </c>
      <c r="G64" s="8">
        <v>79.7</v>
      </c>
      <c r="H64" s="10">
        <f t="shared" si="39"/>
        <v>7.97E-05</v>
      </c>
      <c r="I64" s="10">
        <f t="shared" si="40"/>
        <v>3.985E-05</v>
      </c>
      <c r="J64" s="10">
        <f t="shared" si="41"/>
        <v>0.027673611111111114</v>
      </c>
      <c r="K64" s="8">
        <v>0</v>
      </c>
      <c r="L64" s="8">
        <f t="shared" si="4"/>
        <v>0</v>
      </c>
      <c r="M64" s="11">
        <f t="shared" si="17"/>
        <v>3.7432981879678465E-05</v>
      </c>
      <c r="N64" s="10">
        <f t="shared" si="18"/>
        <v>0.5962204557475459</v>
      </c>
      <c r="O64" s="8">
        <f t="shared" si="19"/>
        <v>1034.8429189354783</v>
      </c>
      <c r="P64" s="8">
        <f t="shared" si="20"/>
        <v>4183.175765499012</v>
      </c>
      <c r="Q64" s="10">
        <f t="shared" si="21"/>
        <v>1.3772929582954792E-07</v>
      </c>
      <c r="R64" s="10">
        <f t="shared" si="22"/>
        <v>0.003223733343097776</v>
      </c>
      <c r="S64" s="12">
        <f t="shared" si="23"/>
        <v>267.5251930986153</v>
      </c>
      <c r="T64" s="13">
        <f t="shared" si="24"/>
        <v>28.78698399267567</v>
      </c>
      <c r="U64" s="13">
        <f t="shared" si="25"/>
        <v>0.7161931732594431</v>
      </c>
      <c r="V64" s="13">
        <f t="shared" si="26"/>
        <v>22.156961129394816</v>
      </c>
      <c r="W64" s="11">
        <f>0.00000004*D64^2+0.000002*D64-0.000008</f>
        <v>3.65556E-05</v>
      </c>
      <c r="X64" s="10">
        <f>0.574+0.00131*D64</f>
        <v>0.595877</v>
      </c>
      <c r="Y64" s="8">
        <f>10^(3+LOG10(0.3471)-(1-(D64+273.15)/(374.2+273.15))^(2/7)*LOG10(0.274))</f>
        <v>1035.0799268723736</v>
      </c>
      <c r="Z64" s="8">
        <f>4.1868*(0.6741+(0.002825*(D64+273.15))+(-0.000008371*((D64+273.15)^2))+(0.000000008601*((D64+273.15)^3)))*1000</f>
        <v>4183.022213277709</v>
      </c>
      <c r="AA64" s="10">
        <f>X64/(Y64*Z64)</f>
        <v>1.3762348947788054E-07</v>
      </c>
      <c r="AB64" s="10">
        <f t="shared" si="35"/>
        <v>0.003222907702409166</v>
      </c>
      <c r="AC64" s="12">
        <f t="shared" si="29"/>
        <v>267.4426316196884</v>
      </c>
      <c r="AD64" s="13">
        <f t="shared" si="30"/>
        <v>28.801408547324634</v>
      </c>
      <c r="AE64" s="13">
        <f t="shared" si="36"/>
        <v>1.266509204800209</v>
      </c>
      <c r="AF64" s="13">
        <f t="shared" si="31"/>
        <v>22.167777435670935</v>
      </c>
      <c r="AG64" s="8">
        <f t="shared" si="10"/>
        <v>0.027673611111111114</v>
      </c>
      <c r="AH64" s="8">
        <f t="shared" si="37"/>
        <v>0.027673611111111114</v>
      </c>
      <c r="AI64" s="8">
        <f t="shared" si="12"/>
        <v>1</v>
      </c>
      <c r="AJ64" s="9">
        <f t="shared" si="32"/>
        <v>-21.44076795613537</v>
      </c>
      <c r="AK64" s="8">
        <v>48.14</v>
      </c>
      <c r="AL64" s="8">
        <f t="shared" si="13"/>
        <v>0.9640434588151341</v>
      </c>
      <c r="AM64" s="8">
        <v>49.187</v>
      </c>
      <c r="AN64" s="8">
        <v>34.435</v>
      </c>
      <c r="AO64" s="8">
        <f t="shared" si="38"/>
        <v>0.9850105028820108</v>
      </c>
      <c r="AP64" s="9">
        <f t="shared" si="33"/>
        <v>-21.44076795613537</v>
      </c>
    </row>
    <row r="65" spans="1:42" s="8" customFormat="1" ht="12.75">
      <c r="A65" s="8">
        <f t="shared" si="15"/>
        <v>0.00108</v>
      </c>
      <c r="B65" s="7" t="s">
        <v>39</v>
      </c>
      <c r="C65" s="8">
        <v>0</v>
      </c>
      <c r="D65" s="8">
        <v>16</v>
      </c>
      <c r="E65" s="8">
        <f t="shared" si="16"/>
        <v>16</v>
      </c>
      <c r="F65" s="8">
        <f t="shared" si="34"/>
        <v>0</v>
      </c>
      <c r="G65" s="8">
        <v>76.7</v>
      </c>
      <c r="H65" s="10">
        <f t="shared" si="39"/>
        <v>7.67E-05</v>
      </c>
      <c r="I65" s="10">
        <f t="shared" si="40"/>
        <v>3.835E-05</v>
      </c>
      <c r="J65" s="10">
        <f t="shared" si="41"/>
        <v>0.026631944444444444</v>
      </c>
      <c r="K65" s="8">
        <v>0</v>
      </c>
      <c r="L65" s="8">
        <f t="shared" si="4"/>
        <v>0</v>
      </c>
      <c r="M65" s="11">
        <f t="shared" si="17"/>
        <v>3.4240000000000004E-05</v>
      </c>
      <c r="N65" s="10">
        <f t="shared" si="18"/>
        <v>0.5949599999999999</v>
      </c>
      <c r="O65" s="8">
        <f t="shared" si="19"/>
        <v>1035.7123773989235</v>
      </c>
      <c r="P65" s="8">
        <f t="shared" si="20"/>
        <v>4182.609714861565</v>
      </c>
      <c r="Q65" s="10">
        <f t="shared" si="21"/>
        <v>1.3734133364433717E-07</v>
      </c>
      <c r="R65" s="10">
        <f t="shared" si="22"/>
        <v>0.0032621547566130072</v>
      </c>
      <c r="S65" s="12">
        <f t="shared" si="23"/>
        <v>263.94595214020904</v>
      </c>
      <c r="T65" s="13">
        <f t="shared" si="24"/>
        <v>28.098869808919602</v>
      </c>
      <c r="U65" s="13">
        <f t="shared" si="25"/>
        <v>0</v>
      </c>
      <c r="V65" s="13">
        <f t="shared" si="26"/>
        <v>21.640978642828244</v>
      </c>
      <c r="W65" s="11">
        <f t="shared" si="5"/>
        <v>3.4240000000000004E-05</v>
      </c>
      <c r="X65" s="10">
        <f t="shared" si="27"/>
        <v>0.5949599999999999</v>
      </c>
      <c r="Y65" s="8">
        <f t="shared" si="6"/>
        <v>1035.7123773989235</v>
      </c>
      <c r="Z65" s="8">
        <f t="shared" si="7"/>
        <v>4182.609714861565</v>
      </c>
      <c r="AA65" s="10">
        <f t="shared" si="28"/>
        <v>1.3734133364433717E-07</v>
      </c>
      <c r="AB65" s="10">
        <f t="shared" si="35"/>
        <v>0.0032621547566130072</v>
      </c>
      <c r="AC65" s="12">
        <f t="shared" si="29"/>
        <v>263.94595214020904</v>
      </c>
      <c r="AD65" s="13">
        <f t="shared" si="30"/>
        <v>28.098869808919602</v>
      </c>
      <c r="AE65" s="13">
        <f t="shared" si="36"/>
        <v>0</v>
      </c>
      <c r="AF65" s="13">
        <f t="shared" si="31"/>
        <v>21.640978642828244</v>
      </c>
      <c r="AG65" s="8">
        <f t="shared" si="10"/>
        <v>0.026631944444444444</v>
      </c>
      <c r="AH65" s="8">
        <f t="shared" si="37"/>
        <v>0.026631944444444444</v>
      </c>
      <c r="AI65" s="8">
        <f t="shared" si="12"/>
        <v>1</v>
      </c>
      <c r="AJ65" s="9">
        <f t="shared" si="32"/>
        <v>-21.640978642828244</v>
      </c>
      <c r="AK65" s="8">
        <v>43.534</v>
      </c>
      <c r="AL65" s="8">
        <f t="shared" si="13"/>
        <v>0.8389887583985365</v>
      </c>
      <c r="AM65" s="8">
        <v>51.462</v>
      </c>
      <c r="AN65" s="8">
        <v>32.609</v>
      </c>
      <c r="AO65" s="8">
        <f t="shared" si="38"/>
        <v>0.991777449458021</v>
      </c>
      <c r="AP65" s="9">
        <f t="shared" si="33"/>
        <v>-21.640978642828244</v>
      </c>
    </row>
    <row r="66" spans="1:42" s="8" customFormat="1" ht="12.75">
      <c r="A66" s="8">
        <f t="shared" si="15"/>
        <v>0.00108</v>
      </c>
      <c r="B66" s="7" t="s">
        <v>40</v>
      </c>
      <c r="C66" s="8">
        <v>0</v>
      </c>
      <c r="D66" s="8">
        <v>16</v>
      </c>
      <c r="E66" s="8">
        <f t="shared" si="16"/>
        <v>16</v>
      </c>
      <c r="F66" s="8">
        <f t="shared" si="34"/>
        <v>0</v>
      </c>
      <c r="G66" s="8">
        <v>76.8</v>
      </c>
      <c r="H66" s="10">
        <f t="shared" si="39"/>
        <v>7.68E-05</v>
      </c>
      <c r="I66" s="10">
        <f t="shared" si="40"/>
        <v>3.84E-05</v>
      </c>
      <c r="J66" s="10">
        <f t="shared" si="41"/>
        <v>0.02666666666666667</v>
      </c>
      <c r="K66" s="8">
        <v>0</v>
      </c>
      <c r="L66" s="8">
        <f t="shared" si="4"/>
        <v>0</v>
      </c>
      <c r="M66" s="11">
        <f t="shared" si="17"/>
        <v>3.4240000000000004E-05</v>
      </c>
      <c r="N66" s="10">
        <f t="shared" si="18"/>
        <v>0.5949599999999999</v>
      </c>
      <c r="O66" s="8">
        <f t="shared" si="19"/>
        <v>1035.7123773989235</v>
      </c>
      <c r="P66" s="8">
        <f t="shared" si="20"/>
        <v>4182.609714861565</v>
      </c>
      <c r="Q66" s="10">
        <f t="shared" si="21"/>
        <v>1.3734133364433717E-07</v>
      </c>
      <c r="R66" s="10">
        <f t="shared" si="22"/>
        <v>0.0032607384174805493</v>
      </c>
      <c r="S66" s="12">
        <f t="shared" si="23"/>
        <v>264.0565636194372</v>
      </c>
      <c r="T66" s="13">
        <f t="shared" si="24"/>
        <v>28.12371881105917</v>
      </c>
      <c r="U66" s="13">
        <f t="shared" si="25"/>
        <v>0</v>
      </c>
      <c r="V66" s="13">
        <f t="shared" si="26"/>
        <v>21.65961158184018</v>
      </c>
      <c r="W66" s="11">
        <f t="shared" si="5"/>
        <v>3.4240000000000004E-05</v>
      </c>
      <c r="X66" s="10">
        <f t="shared" si="27"/>
        <v>0.5949599999999999</v>
      </c>
      <c r="Y66" s="8">
        <f t="shared" si="6"/>
        <v>1035.7123773989235</v>
      </c>
      <c r="Z66" s="8">
        <f t="shared" si="7"/>
        <v>4182.609714861565</v>
      </c>
      <c r="AA66" s="10">
        <f t="shared" si="28"/>
        <v>1.3734133364433717E-07</v>
      </c>
      <c r="AB66" s="10">
        <f t="shared" si="35"/>
        <v>0.0032607384174805493</v>
      </c>
      <c r="AC66" s="12">
        <f t="shared" si="29"/>
        <v>264.0565636194372</v>
      </c>
      <c r="AD66" s="13">
        <f t="shared" si="30"/>
        <v>28.12371881105917</v>
      </c>
      <c r="AE66" s="13">
        <f t="shared" si="36"/>
        <v>0</v>
      </c>
      <c r="AF66" s="13">
        <f t="shared" si="31"/>
        <v>21.65961158184018</v>
      </c>
      <c r="AG66" s="8">
        <f t="shared" si="10"/>
        <v>0.02666666666666667</v>
      </c>
      <c r="AH66" s="8">
        <f t="shared" si="37"/>
        <v>0.02666666666666667</v>
      </c>
      <c r="AI66" s="8">
        <f t="shared" si="12"/>
        <v>1</v>
      </c>
      <c r="AJ66" s="9">
        <f t="shared" si="32"/>
        <v>-21.65961158184018</v>
      </c>
      <c r="AK66" s="8">
        <v>44.809</v>
      </c>
      <c r="AL66" s="8">
        <f t="shared" si="13"/>
        <v>0.8646864965099273</v>
      </c>
      <c r="AM66" s="8">
        <v>50.582</v>
      </c>
      <c r="AN66" s="8">
        <v>36.783</v>
      </c>
      <c r="AO66" s="8">
        <f t="shared" si="38"/>
        <v>0.9760890081560658</v>
      </c>
      <c r="AP66" s="9">
        <f t="shared" si="33"/>
        <v>-21.65961158184018</v>
      </c>
    </row>
    <row r="67" spans="1:42" s="8" customFormat="1" ht="12.75">
      <c r="A67" s="8">
        <f t="shared" si="15"/>
        <v>0.00108</v>
      </c>
      <c r="B67" s="7" t="s">
        <v>41</v>
      </c>
      <c r="C67" s="8">
        <v>0</v>
      </c>
      <c r="D67" s="8">
        <v>16</v>
      </c>
      <c r="E67" s="8">
        <f t="shared" si="16"/>
        <v>16</v>
      </c>
      <c r="F67" s="8">
        <f t="shared" si="34"/>
        <v>0</v>
      </c>
      <c r="G67" s="8">
        <v>81.7</v>
      </c>
      <c r="H67" s="10">
        <f t="shared" si="39"/>
        <v>8.17E-05</v>
      </c>
      <c r="I67" s="10">
        <f t="shared" si="40"/>
        <v>4.085E-05</v>
      </c>
      <c r="J67" s="10">
        <f t="shared" si="41"/>
        <v>0.028368055555555556</v>
      </c>
      <c r="K67" s="8">
        <v>0</v>
      </c>
      <c r="L67" s="8">
        <f t="shared" si="4"/>
        <v>0</v>
      </c>
      <c r="M67" s="11">
        <f t="shared" si="17"/>
        <v>3.4240000000000004E-05</v>
      </c>
      <c r="N67" s="10">
        <f t="shared" si="18"/>
        <v>0.5949599999999999</v>
      </c>
      <c r="O67" s="8">
        <f t="shared" si="19"/>
        <v>1035.7123773989235</v>
      </c>
      <c r="P67" s="8">
        <f t="shared" si="20"/>
        <v>4182.609714861565</v>
      </c>
      <c r="Q67" s="10">
        <f t="shared" si="21"/>
        <v>1.3734133364433717E-07</v>
      </c>
      <c r="R67" s="10">
        <f t="shared" si="22"/>
        <v>0.0031942083709240337</v>
      </c>
      <c r="S67" s="12">
        <f t="shared" si="23"/>
        <v>269.3588977690182</v>
      </c>
      <c r="T67" s="13">
        <f t="shared" si="24"/>
        <v>29.329132969578495</v>
      </c>
      <c r="U67" s="13">
        <f t="shared" si="25"/>
        <v>0</v>
      </c>
      <c r="V67" s="13">
        <f t="shared" si="26"/>
        <v>22.563494992001598</v>
      </c>
      <c r="W67" s="11">
        <f>0.00000004*D67^2+0.000002*D67-0.000008</f>
        <v>3.4240000000000004E-05</v>
      </c>
      <c r="X67" s="10">
        <f>0.574+0.00131*D67</f>
        <v>0.5949599999999999</v>
      </c>
      <c r="Y67" s="8">
        <f>10^(3+LOG10(0.3471)-(1-(D67+273.15)/(374.2+273.15))^(2/7)*LOG10(0.274))</f>
        <v>1035.7123773989235</v>
      </c>
      <c r="Z67" s="8">
        <f>4.1868*(0.6741+(0.002825*(D67+273.15))+(-0.000008371*((D67+273.15)^2))+(0.000000008601*((D67+273.15)^3)))*1000</f>
        <v>4182.609714861565</v>
      </c>
      <c r="AA67" s="10">
        <f>X67/(Y67*Z67)</f>
        <v>1.3734133364433717E-07</v>
      </c>
      <c r="AB67" s="10">
        <f t="shared" si="35"/>
        <v>0.0031942083709240337</v>
      </c>
      <c r="AC67" s="12">
        <f t="shared" si="29"/>
        <v>269.3588977690182</v>
      </c>
      <c r="AD67" s="13">
        <f t="shared" si="30"/>
        <v>29.329132969578495</v>
      </c>
      <c r="AE67" s="13">
        <f t="shared" si="36"/>
        <v>0</v>
      </c>
      <c r="AF67" s="13">
        <f t="shared" si="31"/>
        <v>22.563494992001598</v>
      </c>
      <c r="AG67" s="8">
        <f t="shared" si="10"/>
        <v>0.028368055555555556</v>
      </c>
      <c r="AH67" s="8">
        <f t="shared" si="37"/>
        <v>0.028368055555555556</v>
      </c>
      <c r="AI67" s="8">
        <f t="shared" si="12"/>
        <v>1</v>
      </c>
      <c r="AJ67" s="9">
        <f t="shared" si="32"/>
        <v>-22.563494992001598</v>
      </c>
      <c r="AK67" s="8">
        <v>51.306</v>
      </c>
      <c r="AL67" s="8">
        <f t="shared" si="13"/>
        <v>1.0532280532481042</v>
      </c>
      <c r="AM67" s="8">
        <v>51.693</v>
      </c>
      <c r="AN67" s="8">
        <v>32.87</v>
      </c>
      <c r="AO67" s="8">
        <f t="shared" si="38"/>
        <v>1</v>
      </c>
      <c r="AP67" s="9">
        <f t="shared" si="33"/>
        <v>-22.563494992001598</v>
      </c>
    </row>
    <row r="68" spans="2:33" s="8" customFormat="1" ht="12.75">
      <c r="B68" s="7"/>
      <c r="I68" s="10"/>
      <c r="J68" s="10"/>
      <c r="K68" s="10"/>
      <c r="X68" s="11"/>
      <c r="Y68" s="10"/>
      <c r="AB68" s="10"/>
      <c r="AC68" s="10"/>
      <c r="AD68" s="12"/>
      <c r="AE68" s="13"/>
      <c r="AF68" s="13"/>
      <c r="AG68" s="13"/>
    </row>
    <row r="69" spans="2:33" s="8" customFormat="1" ht="12.75">
      <c r="B69" s="7"/>
      <c r="I69" s="10"/>
      <c r="J69" s="10"/>
      <c r="K69" s="10"/>
      <c r="X69" s="11"/>
      <c r="Y69" s="10"/>
      <c r="AB69" s="10"/>
      <c r="AC69" s="10"/>
      <c r="AD69" s="12"/>
      <c r="AE69" s="13"/>
      <c r="AF69" s="13"/>
      <c r="AG69" s="13"/>
    </row>
    <row r="70" spans="2:33" s="8" customFormat="1" ht="12.75">
      <c r="B70" s="7"/>
      <c r="I70" s="10"/>
      <c r="J70" s="10"/>
      <c r="K70" s="10"/>
      <c r="X70" s="11"/>
      <c r="Y70" s="10"/>
      <c r="AB70" s="10"/>
      <c r="AC70" s="10"/>
      <c r="AD70" s="12"/>
      <c r="AE70" s="13"/>
      <c r="AF70" s="13"/>
      <c r="AG70" s="13"/>
    </row>
    <row r="71" spans="2:33" s="8" customFormat="1" ht="12.75">
      <c r="B71" s="7"/>
      <c r="I71" s="10"/>
      <c r="J71" s="10"/>
      <c r="K71" s="10"/>
      <c r="X71" s="11"/>
      <c r="Y71" s="10"/>
      <c r="AB71" s="10"/>
      <c r="AC71" s="10"/>
      <c r="AD71" s="12"/>
      <c r="AE71" s="13"/>
      <c r="AF71" s="13"/>
      <c r="AG71" s="13"/>
    </row>
    <row r="72" spans="2:33" s="8" customFormat="1" ht="12.75">
      <c r="B72" s="7"/>
      <c r="I72" s="10"/>
      <c r="J72" s="10"/>
      <c r="K72" s="10"/>
      <c r="X72" s="11"/>
      <c r="Y72" s="10"/>
      <c r="AB72" s="10"/>
      <c r="AC72" s="10"/>
      <c r="AD72" s="12"/>
      <c r="AE72" s="13"/>
      <c r="AF72" s="13"/>
      <c r="AG72" s="13"/>
    </row>
    <row r="73" spans="2:33" s="8" customFormat="1" ht="12.75">
      <c r="B73" s="7"/>
      <c r="I73" s="10"/>
      <c r="J73" s="10"/>
      <c r="K73" s="10"/>
      <c r="X73" s="11"/>
      <c r="Y73" s="10"/>
      <c r="AB73" s="10"/>
      <c r="AC73" s="10"/>
      <c r="AD73" s="12"/>
      <c r="AE73" s="13"/>
      <c r="AF73" s="13"/>
      <c r="AG73" s="13"/>
    </row>
    <row r="74" spans="2:33" s="8" customFormat="1" ht="12.75">
      <c r="B74" s="7"/>
      <c r="I74" s="10"/>
      <c r="J74" s="10"/>
      <c r="K74" s="10"/>
      <c r="X74" s="11"/>
      <c r="Y74" s="10"/>
      <c r="AB74" s="10"/>
      <c r="AC74" s="10"/>
      <c r="AD74" s="12"/>
      <c r="AE74" s="13"/>
      <c r="AF74" s="13"/>
      <c r="AG74" s="13"/>
    </row>
    <row r="75" spans="2:33" s="8" customFormat="1" ht="12.75">
      <c r="B75" s="7"/>
      <c r="I75" s="10"/>
      <c r="J75" s="10"/>
      <c r="K75" s="10"/>
      <c r="X75" s="11"/>
      <c r="Y75" s="10"/>
      <c r="AB75" s="10"/>
      <c r="AC75" s="10"/>
      <c r="AD75" s="12"/>
      <c r="AE75" s="13"/>
      <c r="AF75" s="13"/>
      <c r="AG75" s="13"/>
    </row>
    <row r="76" spans="2:33" s="8" customFormat="1" ht="12.75">
      <c r="B76" s="7"/>
      <c r="I76" s="10"/>
      <c r="J76" s="10"/>
      <c r="K76" s="10"/>
      <c r="X76" s="11"/>
      <c r="Y76" s="10"/>
      <c r="AB76" s="10"/>
      <c r="AC76" s="10"/>
      <c r="AD76" s="12"/>
      <c r="AE76" s="13"/>
      <c r="AF76" s="13"/>
      <c r="AG76" s="13"/>
    </row>
    <row r="77" spans="2:33" s="8" customFormat="1" ht="12.75">
      <c r="B77" s="7"/>
      <c r="I77" s="10"/>
      <c r="J77" s="10"/>
      <c r="K77" s="10"/>
      <c r="X77" s="11"/>
      <c r="Y77" s="10"/>
      <c r="AB77" s="10"/>
      <c r="AC77" s="10"/>
      <c r="AD77" s="12"/>
      <c r="AE77" s="13"/>
      <c r="AF77" s="13"/>
      <c r="AG77" s="13"/>
    </row>
    <row r="78" spans="2:33" s="8" customFormat="1" ht="12.75">
      <c r="B78" s="7"/>
      <c r="I78" s="10"/>
      <c r="J78" s="10"/>
      <c r="K78" s="10"/>
      <c r="X78" s="11"/>
      <c r="Y78" s="10"/>
      <c r="AB78" s="10"/>
      <c r="AC78" s="10"/>
      <c r="AD78" s="12"/>
      <c r="AE78" s="13"/>
      <c r="AF78" s="13"/>
      <c r="AG78" s="13"/>
    </row>
    <row r="79" spans="2:33" s="8" customFormat="1" ht="12.75">
      <c r="B79" s="7"/>
      <c r="I79" s="10"/>
      <c r="J79" s="10"/>
      <c r="K79" s="10"/>
      <c r="X79" s="11"/>
      <c r="Y79" s="10"/>
      <c r="AB79" s="10"/>
      <c r="AC79" s="10"/>
      <c r="AD79" s="12"/>
      <c r="AE79" s="13"/>
      <c r="AF79" s="13"/>
      <c r="AG79" s="13"/>
    </row>
    <row r="80" spans="2:33" s="8" customFormat="1" ht="12.75">
      <c r="B80" s="7"/>
      <c r="I80" s="10"/>
      <c r="J80" s="10"/>
      <c r="K80" s="10"/>
      <c r="X80" s="11"/>
      <c r="Y80" s="10"/>
      <c r="AB80" s="10"/>
      <c r="AC80" s="10"/>
      <c r="AD80" s="12"/>
      <c r="AE80" s="13"/>
      <c r="AF80" s="13"/>
      <c r="AG80" s="13"/>
    </row>
    <row r="81" spans="2:33" s="8" customFormat="1" ht="12.75">
      <c r="B81" s="7"/>
      <c r="I81" s="10"/>
      <c r="J81" s="10"/>
      <c r="K81" s="10"/>
      <c r="X81" s="11"/>
      <c r="Y81" s="10"/>
      <c r="AB81" s="10"/>
      <c r="AC81" s="10"/>
      <c r="AD81" s="12"/>
      <c r="AE81" s="13"/>
      <c r="AF81" s="13"/>
      <c r="AG81" s="13"/>
    </row>
    <row r="82" spans="2:33" s="8" customFormat="1" ht="12.75">
      <c r="B82" s="7"/>
      <c r="I82" s="10"/>
      <c r="J82" s="10"/>
      <c r="K82" s="10"/>
      <c r="X82" s="11"/>
      <c r="Y82" s="10"/>
      <c r="AB82" s="10"/>
      <c r="AC82" s="10"/>
      <c r="AD82" s="12"/>
      <c r="AE82" s="13"/>
      <c r="AF82" s="13"/>
      <c r="AG82" s="13"/>
    </row>
    <row r="83" spans="2:33" s="8" customFormat="1" ht="12.75">
      <c r="B83" s="7"/>
      <c r="I83" s="10"/>
      <c r="J83" s="10"/>
      <c r="K83" s="10"/>
      <c r="X83" s="11"/>
      <c r="Y83" s="10"/>
      <c r="AB83" s="10"/>
      <c r="AC83" s="10"/>
      <c r="AD83" s="12"/>
      <c r="AE83" s="13"/>
      <c r="AF83" s="13"/>
      <c r="AG83" s="13"/>
    </row>
    <row r="84" spans="2:33" s="8" customFormat="1" ht="12.75">
      <c r="B84" s="7"/>
      <c r="I84" s="10"/>
      <c r="J84" s="10"/>
      <c r="K84" s="10"/>
      <c r="X84" s="11"/>
      <c r="Y84" s="10"/>
      <c r="AB84" s="10"/>
      <c r="AC84" s="10"/>
      <c r="AD84" s="12"/>
      <c r="AE84" s="13"/>
      <c r="AF84" s="13"/>
      <c r="AG84" s="13"/>
    </row>
    <row r="85" spans="2:33" s="8" customFormat="1" ht="12.75">
      <c r="B85" s="7"/>
      <c r="I85" s="10"/>
      <c r="J85" s="10"/>
      <c r="K85" s="10"/>
      <c r="X85" s="11"/>
      <c r="Y85" s="10"/>
      <c r="AB85" s="10"/>
      <c r="AC85" s="10"/>
      <c r="AD85" s="12"/>
      <c r="AE85" s="13"/>
      <c r="AF85" s="13"/>
      <c r="AG85" s="13"/>
    </row>
    <row r="86" spans="2:33" s="8" customFormat="1" ht="12.75">
      <c r="B86" s="7"/>
      <c r="I86" s="10"/>
      <c r="J86" s="10"/>
      <c r="K86" s="10"/>
      <c r="X86" s="11"/>
      <c r="Y86" s="10"/>
      <c r="AB86" s="10"/>
      <c r="AC86" s="10"/>
      <c r="AD86" s="12"/>
      <c r="AE86" s="13"/>
      <c r="AF86" s="13"/>
      <c r="AG86" s="13"/>
    </row>
    <row r="87" spans="2:33" s="8" customFormat="1" ht="12.75">
      <c r="B87" s="7"/>
      <c r="I87" s="10"/>
      <c r="J87" s="10"/>
      <c r="K87" s="10"/>
      <c r="X87" s="11"/>
      <c r="Y87" s="10"/>
      <c r="AB87" s="10"/>
      <c r="AC87" s="10"/>
      <c r="AD87" s="12"/>
      <c r="AE87" s="13"/>
      <c r="AF87" s="13"/>
      <c r="AG87" s="13"/>
    </row>
    <row r="88" spans="2:33" s="8" customFormat="1" ht="12.75">
      <c r="B88" s="7"/>
      <c r="I88" s="10"/>
      <c r="J88" s="10"/>
      <c r="K88" s="10"/>
      <c r="X88" s="11"/>
      <c r="Y88" s="10"/>
      <c r="AB88" s="10"/>
      <c r="AC88" s="10"/>
      <c r="AD88" s="12"/>
      <c r="AE88" s="13"/>
      <c r="AF88" s="13"/>
      <c r="AG88" s="13"/>
    </row>
    <row r="89" spans="2:33" s="8" customFormat="1" ht="12.75">
      <c r="B89" s="7"/>
      <c r="I89" s="10"/>
      <c r="J89" s="10"/>
      <c r="K89" s="10"/>
      <c r="X89" s="11"/>
      <c r="Y89" s="10"/>
      <c r="AB89" s="10"/>
      <c r="AC89" s="10"/>
      <c r="AD89" s="12"/>
      <c r="AE89" s="13"/>
      <c r="AF89" s="13"/>
      <c r="AG89" s="13"/>
    </row>
    <row r="90" spans="2:33" s="8" customFormat="1" ht="12.75">
      <c r="B90" s="7"/>
      <c r="I90" s="10"/>
      <c r="J90" s="10"/>
      <c r="K90" s="10"/>
      <c r="X90" s="11"/>
      <c r="Y90" s="10"/>
      <c r="AB90" s="10"/>
      <c r="AC90" s="10"/>
      <c r="AD90" s="12"/>
      <c r="AE90" s="13"/>
      <c r="AF90" s="13"/>
      <c r="AG90" s="13"/>
    </row>
    <row r="91" spans="2:33" s="8" customFormat="1" ht="12.75">
      <c r="B91" s="7"/>
      <c r="I91" s="10"/>
      <c r="J91" s="10"/>
      <c r="K91" s="10"/>
      <c r="X91" s="11"/>
      <c r="Y91" s="10"/>
      <c r="AB91" s="10"/>
      <c r="AC91" s="10"/>
      <c r="AD91" s="12"/>
      <c r="AE91" s="13"/>
      <c r="AF91" s="13"/>
      <c r="AG91" s="13"/>
    </row>
    <row r="92" spans="2:33" s="8" customFormat="1" ht="12.75">
      <c r="B92" s="7"/>
      <c r="I92" s="10"/>
      <c r="J92" s="10"/>
      <c r="K92" s="10"/>
      <c r="X92" s="11"/>
      <c r="Y92" s="10"/>
      <c r="AB92" s="10"/>
      <c r="AC92" s="10"/>
      <c r="AD92" s="12"/>
      <c r="AE92" s="13"/>
      <c r="AF92" s="13"/>
      <c r="AG92" s="13"/>
    </row>
    <row r="93" s="8" customFormat="1" ht="12.75">
      <c r="B93" s="7"/>
    </row>
    <row r="94" s="8" customFormat="1" ht="12.75">
      <c r="B94" s="7"/>
    </row>
    <row r="95" s="8" customFormat="1" ht="12.75">
      <c r="B95" s="7"/>
    </row>
    <row r="96" s="8" customFormat="1" ht="12.75">
      <c r="B96" s="7"/>
    </row>
    <row r="97" s="8" customFormat="1" ht="12.75">
      <c r="B97" s="7"/>
    </row>
    <row r="98" s="8" customFormat="1" ht="12.75">
      <c r="B98" s="7"/>
    </row>
    <row r="99" s="8" customFormat="1" ht="12.75">
      <c r="B99" s="7"/>
    </row>
    <row r="100" s="8" customFormat="1" ht="12.75">
      <c r="B100" s="7"/>
    </row>
    <row r="101" s="8" customFormat="1" ht="12.75">
      <c r="B101" s="7"/>
    </row>
    <row r="102" s="8" customFormat="1" ht="12.75">
      <c r="B102" s="7"/>
    </row>
    <row r="103" s="8" customFormat="1" ht="12.75">
      <c r="B103" s="7"/>
    </row>
    <row r="104" s="8" customFormat="1" ht="12.75">
      <c r="B104" s="7"/>
    </row>
    <row r="105" s="8" customFormat="1" ht="12.75">
      <c r="B105" s="7"/>
    </row>
    <row r="106" s="8" customFormat="1" ht="12.75">
      <c r="B106" s="7"/>
    </row>
    <row r="107" s="8" customFormat="1" ht="12.75">
      <c r="B107" s="7"/>
    </row>
    <row r="108" s="8" customFormat="1" ht="12.75">
      <c r="B108" s="7"/>
    </row>
    <row r="109" s="8" customFormat="1" ht="12.75">
      <c r="B109" s="7"/>
    </row>
    <row r="110" s="8" customFormat="1" ht="12.75">
      <c r="B110" s="7"/>
    </row>
    <row r="111" s="8" customFormat="1" ht="12.75">
      <c r="B111" s="7"/>
    </row>
    <row r="112" s="8" customFormat="1" ht="12.75">
      <c r="B112" s="7"/>
    </row>
    <row r="113" s="8" customFormat="1" ht="12.75">
      <c r="B113" s="7"/>
    </row>
    <row r="114" s="8" customFormat="1" ht="12.75">
      <c r="B114" s="7"/>
    </row>
    <row r="115" s="8" customFormat="1" ht="12.75">
      <c r="B115" s="7"/>
    </row>
    <row r="116" s="8" customFormat="1" ht="12.75">
      <c r="B116" s="7"/>
    </row>
    <row r="117" s="8" customFormat="1" ht="12.75">
      <c r="B117" s="7"/>
    </row>
    <row r="118" s="8" customFormat="1" ht="12.75">
      <c r="B118" s="7"/>
    </row>
    <row r="119" s="8" customFormat="1" ht="12.75">
      <c r="B119" s="7"/>
    </row>
    <row r="120" s="8" customFormat="1" ht="12.75">
      <c r="B120" s="7"/>
    </row>
    <row r="121" s="8" customFormat="1" ht="12.75">
      <c r="B121" s="7"/>
    </row>
    <row r="122" s="8" customFormat="1" ht="12.75">
      <c r="B122" s="7"/>
    </row>
    <row r="123" s="8" customFormat="1" ht="12.75">
      <c r="B123" s="7"/>
    </row>
    <row r="124" s="8" customFormat="1" ht="12.75">
      <c r="B124" s="7"/>
    </row>
    <row r="125" s="8" customFormat="1" ht="12.75">
      <c r="B125" s="7"/>
    </row>
    <row r="126" s="8" customFormat="1" ht="12.75">
      <c r="B126" s="7"/>
    </row>
    <row r="127" s="8" customFormat="1" ht="12.75">
      <c r="B127" s="7"/>
    </row>
    <row r="128" s="8" customFormat="1" ht="12.75">
      <c r="B128" s="7"/>
    </row>
    <row r="129" s="8" customFormat="1" ht="12.75">
      <c r="B129" s="7"/>
    </row>
    <row r="130" s="8" customFormat="1" ht="12.75">
      <c r="B130" s="7"/>
    </row>
    <row r="131" s="8" customFormat="1" ht="12.75">
      <c r="B131" s="7"/>
    </row>
    <row r="132" s="8" customFormat="1" ht="12.75">
      <c r="B132" s="7"/>
    </row>
    <row r="133" s="8" customFormat="1" ht="12.75">
      <c r="B133" s="7"/>
    </row>
    <row r="134" s="8" customFormat="1" ht="12.75">
      <c r="B134" s="7"/>
    </row>
    <row r="135" s="8" customFormat="1" ht="12.75">
      <c r="B135" s="7"/>
    </row>
    <row r="136" s="8" customFormat="1" ht="12.75">
      <c r="B136" s="7"/>
    </row>
    <row r="137" s="8" customFormat="1" ht="12.75">
      <c r="B137" s="7"/>
    </row>
    <row r="138" s="8" customFormat="1" ht="12.75">
      <c r="B138" s="7"/>
    </row>
    <row r="139" s="8" customFormat="1" ht="12.75">
      <c r="B139" s="7"/>
    </row>
    <row r="140" s="8" customFormat="1" ht="12.75">
      <c r="B140" s="7"/>
    </row>
    <row r="141" s="8" customFormat="1" ht="12.75">
      <c r="B141" s="7"/>
    </row>
    <row r="142" s="8" customFormat="1" ht="12.75">
      <c r="B142" s="7"/>
    </row>
    <row r="143" s="8" customFormat="1" ht="12.75">
      <c r="B143" s="7"/>
    </row>
    <row r="144" s="8" customFormat="1" ht="12.75">
      <c r="B144" s="7"/>
    </row>
    <row r="145" s="8" customFormat="1" ht="12.75">
      <c r="B145" s="7"/>
    </row>
    <row r="146" s="8" customFormat="1" ht="12.75">
      <c r="B146" s="7"/>
    </row>
    <row r="147" s="8" customFormat="1" ht="12.75">
      <c r="B147" s="7"/>
    </row>
    <row r="148" s="8" customFormat="1" ht="12.75">
      <c r="B148" s="7"/>
    </row>
    <row r="149" s="8" customFormat="1" ht="12.75">
      <c r="B149" s="7"/>
    </row>
    <row r="150" s="8" customFormat="1" ht="12.75">
      <c r="B150" s="7"/>
    </row>
    <row r="151" s="8" customFormat="1" ht="12.75">
      <c r="B151" s="7"/>
    </row>
    <row r="152" s="8" customFormat="1" ht="12.75">
      <c r="B152" s="7"/>
    </row>
    <row r="153" s="8" customFormat="1" ht="12.75">
      <c r="B153" s="7"/>
    </row>
    <row r="154" s="8" customFormat="1" ht="12.75">
      <c r="B154" s="7"/>
    </row>
    <row r="155" s="8" customFormat="1" ht="12.75">
      <c r="B155" s="7"/>
    </row>
    <row r="156" s="8" customFormat="1" ht="12.75">
      <c r="B156" s="7"/>
    </row>
    <row r="157" s="8" customFormat="1" ht="12.75">
      <c r="B157" s="7"/>
    </row>
    <row r="158" s="8" customFormat="1" ht="12.75">
      <c r="B158" s="7"/>
    </row>
    <row r="159" s="8" customFormat="1" ht="12.75">
      <c r="B159" s="7"/>
    </row>
    <row r="160" s="8" customFormat="1" ht="12.75">
      <c r="B160" s="7"/>
    </row>
    <row r="161" s="8" customFormat="1" ht="12.75">
      <c r="B161" s="7"/>
    </row>
    <row r="162" s="8" customFormat="1" ht="12.75">
      <c r="B162" s="7"/>
    </row>
    <row r="163" s="8" customFormat="1" ht="12.75">
      <c r="B163" s="7"/>
    </row>
    <row r="164" s="8" customFormat="1" ht="12.75">
      <c r="B164" s="7"/>
    </row>
    <row r="165" s="8" customFormat="1" ht="12.75">
      <c r="B165" s="7"/>
    </row>
    <row r="166" s="8" customFormat="1" ht="12.75">
      <c r="B166" s="7"/>
    </row>
    <row r="167" s="8" customFormat="1" ht="12.75">
      <c r="B167" s="7"/>
    </row>
    <row r="168" s="8" customFormat="1" ht="12.75">
      <c r="B168" s="7"/>
    </row>
    <row r="169" s="8" customFormat="1" ht="12.75">
      <c r="B169" s="7"/>
    </row>
    <row r="170" s="8" customFormat="1" ht="12.75">
      <c r="B170" s="7"/>
    </row>
    <row r="171" s="8" customFormat="1" ht="12.75">
      <c r="B171" s="7"/>
    </row>
    <row r="172" s="8" customFormat="1" ht="12.75">
      <c r="B172" s="7"/>
    </row>
    <row r="173" s="8" customFormat="1" ht="12.75">
      <c r="B173" s="7"/>
    </row>
    <row r="174" s="8" customFormat="1" ht="12.75">
      <c r="B174" s="7"/>
    </row>
    <row r="175" s="8" customFormat="1" ht="12.75">
      <c r="B175" s="7"/>
    </row>
    <row r="176" s="8" customFormat="1" ht="12.75">
      <c r="B176" s="7"/>
    </row>
    <row r="177" s="8" customFormat="1" ht="12.75">
      <c r="B177" s="7"/>
    </row>
    <row r="178" s="8" customFormat="1" ht="12.75">
      <c r="B178" s="7"/>
    </row>
    <row r="179" s="8" customFormat="1" ht="12.75">
      <c r="B179" s="7"/>
    </row>
    <row r="180" s="8" customFormat="1" ht="12.75">
      <c r="B180" s="7"/>
    </row>
    <row r="181" s="8" customFormat="1" ht="12.75">
      <c r="B181" s="7"/>
    </row>
    <row r="182" s="8" customFormat="1" ht="12.75">
      <c r="B182" s="7"/>
    </row>
    <row r="183" s="8" customFormat="1" ht="12.75">
      <c r="B183" s="7"/>
    </row>
    <row r="184" s="8" customFormat="1" ht="12.75">
      <c r="B184" s="7"/>
    </row>
    <row r="185" s="8" customFormat="1" ht="12.75">
      <c r="B185" s="7"/>
    </row>
    <row r="186" s="8" customFormat="1" ht="12.75">
      <c r="B186" s="7"/>
    </row>
    <row r="187" s="8" customFormat="1" ht="12.75">
      <c r="B187" s="7"/>
    </row>
    <row r="188" s="8" customFormat="1" ht="12.75">
      <c r="B188" s="7"/>
    </row>
    <row r="189" s="8" customFormat="1" ht="12.75">
      <c r="B189" s="7"/>
    </row>
    <row r="190" s="8" customFormat="1" ht="12.75">
      <c r="B190" s="7"/>
    </row>
    <row r="191" s="8" customFormat="1" ht="12.75">
      <c r="B191" s="7"/>
    </row>
    <row r="192" s="8" customFormat="1" ht="12.75">
      <c r="B192" s="7"/>
    </row>
    <row r="193" s="8" customFormat="1" ht="12.75">
      <c r="B193" s="7"/>
    </row>
    <row r="194" s="8" customFormat="1" ht="12.75">
      <c r="B194" s="7"/>
    </row>
    <row r="195" s="8" customFormat="1" ht="12.75">
      <c r="B195" s="7"/>
    </row>
    <row r="196" s="8" customFormat="1" ht="12.75">
      <c r="B196" s="7"/>
    </row>
    <row r="197" s="8" customFormat="1" ht="12.75">
      <c r="B197" s="7"/>
    </row>
    <row r="198" s="8" customFormat="1" ht="12.75">
      <c r="B198" s="7"/>
    </row>
    <row r="199" s="8" customFormat="1" ht="12.75">
      <c r="B199" s="7"/>
    </row>
    <row r="200" s="8" customFormat="1" ht="12.75">
      <c r="B200" s="7"/>
    </row>
    <row r="201" s="8" customFormat="1" ht="12.75">
      <c r="B201" s="7"/>
    </row>
    <row r="202" s="8" customFormat="1" ht="12.75">
      <c r="B202" s="7"/>
    </row>
    <row r="203" s="8" customFormat="1" ht="12.75">
      <c r="B203" s="7"/>
    </row>
    <row r="204" s="8" customFormat="1" ht="12.75">
      <c r="B204" s="7"/>
    </row>
    <row r="205" s="8" customFormat="1" ht="12.75">
      <c r="B205" s="7"/>
    </row>
    <row r="206" s="8" customFormat="1" ht="12.75">
      <c r="B206" s="7"/>
    </row>
    <row r="207" s="8" customFormat="1" ht="12.75">
      <c r="B207" s="7"/>
    </row>
    <row r="208" s="8" customFormat="1" ht="12.75">
      <c r="B208" s="7"/>
    </row>
    <row r="209" s="8" customFormat="1" ht="12.75">
      <c r="B209" s="7"/>
    </row>
    <row r="210" s="8" customFormat="1" ht="12.75">
      <c r="B210" s="7"/>
    </row>
    <row r="211" s="8" customFormat="1" ht="12.75">
      <c r="B211" s="7"/>
    </row>
    <row r="212" s="8" customFormat="1" ht="12.75">
      <c r="B212" s="7"/>
    </row>
    <row r="213" s="8" customFormat="1" ht="12.75">
      <c r="B213" s="7"/>
    </row>
    <row r="214" s="8" customFormat="1" ht="12.75">
      <c r="B214" s="7"/>
    </row>
    <row r="215" s="8" customFormat="1" ht="12.75">
      <c r="B215" s="7"/>
    </row>
    <row r="216" s="8" customFormat="1" ht="12.75">
      <c r="B216" s="7"/>
    </row>
    <row r="217" s="8" customFormat="1" ht="12.75">
      <c r="B217" s="7"/>
    </row>
    <row r="218" s="8" customFormat="1" ht="12.75">
      <c r="B218" s="7"/>
    </row>
    <row r="219" s="8" customFormat="1" ht="12.75">
      <c r="B219" s="7"/>
    </row>
    <row r="220" s="8" customFormat="1" ht="12.75">
      <c r="B220" s="7"/>
    </row>
    <row r="221" s="8" customFormat="1" ht="12.75">
      <c r="B221" s="7"/>
    </row>
    <row r="222" s="8" customFormat="1" ht="12.75">
      <c r="B222" s="7"/>
    </row>
    <row r="223" s="8" customFormat="1" ht="12.75">
      <c r="B223" s="7"/>
    </row>
    <row r="224" s="8" customFormat="1" ht="12.75">
      <c r="B224" s="7"/>
    </row>
    <row r="225" s="8" customFormat="1" ht="12.75">
      <c r="B225" s="7"/>
    </row>
    <row r="226" s="8" customFormat="1" ht="12.75">
      <c r="B226" s="7"/>
    </row>
    <row r="227" s="8" customFormat="1" ht="12.75">
      <c r="B227" s="7"/>
    </row>
    <row r="228" s="8" customFormat="1" ht="12.75">
      <c r="B228" s="7"/>
    </row>
    <row r="229" s="8" customFormat="1" ht="12.75">
      <c r="B229" s="7"/>
    </row>
    <row r="230" s="8" customFormat="1" ht="12.75">
      <c r="B230" s="7"/>
    </row>
    <row r="231" s="8" customFormat="1" ht="12.75">
      <c r="B231" s="7"/>
    </row>
    <row r="232" s="8" customFormat="1" ht="12.75">
      <c r="B232" s="7"/>
    </row>
    <row r="233" s="8" customFormat="1" ht="12.75">
      <c r="B233" s="7"/>
    </row>
    <row r="234" s="8" customFormat="1" ht="12.75">
      <c r="B234" s="7"/>
    </row>
    <row r="235" s="8" customFormat="1" ht="12.75">
      <c r="B235" s="7"/>
    </row>
    <row r="236" s="8" customFormat="1" ht="12.75">
      <c r="B236" s="7"/>
    </row>
    <row r="237" s="8" customFormat="1" ht="12.75">
      <c r="B237" s="7"/>
    </row>
    <row r="238" s="8" customFormat="1" ht="12.75">
      <c r="B238" s="7"/>
    </row>
    <row r="239" s="8" customFormat="1" ht="12.75">
      <c r="B239" s="7"/>
    </row>
    <row r="240" s="8" customFormat="1" ht="12.75">
      <c r="B240" s="7"/>
    </row>
    <row r="241" s="8" customFormat="1" ht="12.75">
      <c r="B241" s="7"/>
    </row>
    <row r="242" s="8" customFormat="1" ht="12.75">
      <c r="B242" s="7"/>
    </row>
    <row r="243" s="8" customFormat="1" ht="12.75">
      <c r="B243" s="7"/>
    </row>
    <row r="244" s="8" customFormat="1" ht="12.75">
      <c r="B244" s="7"/>
    </row>
    <row r="245" s="8" customFormat="1" ht="12.75">
      <c r="B245" s="7"/>
    </row>
    <row r="246" s="8" customFormat="1" ht="12.75">
      <c r="B246" s="7"/>
    </row>
    <row r="247" s="8" customFormat="1" ht="12.75">
      <c r="B247" s="7"/>
    </row>
    <row r="248" s="8" customFormat="1" ht="12.75">
      <c r="B248" s="7"/>
    </row>
    <row r="249" s="8" customFormat="1" ht="12.75">
      <c r="B249" s="7"/>
    </row>
    <row r="250" s="8" customFormat="1" ht="12.75">
      <c r="B250" s="7"/>
    </row>
    <row r="251" s="8" customFormat="1" ht="12.75">
      <c r="B251" s="7"/>
    </row>
    <row r="252" s="8" customFormat="1" ht="12.75">
      <c r="B252" s="7"/>
    </row>
    <row r="253" s="8" customFormat="1" ht="12.75">
      <c r="B253" s="7"/>
    </row>
    <row r="254" s="8" customFormat="1" ht="12.75">
      <c r="B254" s="7"/>
    </row>
    <row r="255" s="8" customFormat="1" ht="12.75">
      <c r="B255" s="7"/>
    </row>
    <row r="256" s="8" customFormat="1" ht="12.75">
      <c r="B256" s="7"/>
    </row>
    <row r="257" s="8" customFormat="1" ht="12.75">
      <c r="B257" s="7"/>
    </row>
    <row r="258" s="8" customFormat="1" ht="12.75">
      <c r="B258" s="7"/>
    </row>
    <row r="259" s="8" customFormat="1" ht="12.75">
      <c r="B259" s="7"/>
    </row>
    <row r="260" s="8" customFormat="1" ht="12.75">
      <c r="B260" s="7"/>
    </row>
    <row r="261" s="8" customFormat="1" ht="12.75">
      <c r="B261" s="7"/>
    </row>
    <row r="262" s="8" customFormat="1" ht="12.75">
      <c r="B262" s="7"/>
    </row>
    <row r="263" s="8" customFormat="1" ht="12.75">
      <c r="B263" s="7"/>
    </row>
    <row r="264" s="8" customFormat="1" ht="12.75">
      <c r="B264" s="7"/>
    </row>
    <row r="265" s="8" customFormat="1" ht="12.75">
      <c r="B265" s="7"/>
    </row>
    <row r="266" s="8" customFormat="1" ht="12.75">
      <c r="B266" s="7"/>
    </row>
    <row r="267" s="8" customFormat="1" ht="12.75">
      <c r="B267" s="7"/>
    </row>
    <row r="268" s="8" customFormat="1" ht="12.75">
      <c r="B268" s="7"/>
    </row>
    <row r="269" s="8" customFormat="1" ht="12.75">
      <c r="B269" s="7"/>
    </row>
    <row r="270" s="8" customFormat="1" ht="12.75">
      <c r="B270" s="7"/>
    </row>
    <row r="271" s="8" customFormat="1" ht="12.75">
      <c r="B271" s="7"/>
    </row>
    <row r="272" s="8" customFormat="1" ht="12.75">
      <c r="B272" s="7"/>
    </row>
    <row r="273" s="8" customFormat="1" ht="12.75">
      <c r="B273" s="7"/>
    </row>
    <row r="274" s="8" customFormat="1" ht="12.75">
      <c r="B274" s="7"/>
    </row>
    <row r="275" s="8" customFormat="1" ht="12.75">
      <c r="B275" s="7"/>
    </row>
    <row r="276" s="8" customFormat="1" ht="12.75">
      <c r="B276" s="7"/>
    </row>
    <row r="277" s="8" customFormat="1" ht="12.75">
      <c r="B277" s="7"/>
    </row>
    <row r="278" s="8" customFormat="1" ht="12.75">
      <c r="B278" s="7"/>
    </row>
    <row r="279" s="8" customFormat="1" ht="12.75">
      <c r="B279" s="7"/>
    </row>
    <row r="280" s="8" customFormat="1" ht="12.75">
      <c r="B280" s="7"/>
    </row>
    <row r="281" s="8" customFormat="1" ht="12.75">
      <c r="B281" s="7"/>
    </row>
    <row r="282" s="8" customFormat="1" ht="12.75">
      <c r="B282" s="7"/>
    </row>
    <row r="283" s="8" customFormat="1" ht="12.75">
      <c r="B283" s="7"/>
    </row>
    <row r="284" s="8" customFormat="1" ht="12.75">
      <c r="B284" s="7"/>
    </row>
    <row r="285" s="8" customFormat="1" ht="12.75">
      <c r="B285" s="7"/>
    </row>
    <row r="286" s="8" customFormat="1" ht="12.75">
      <c r="B286" s="7"/>
    </row>
    <row r="287" s="8" customFormat="1" ht="12.75">
      <c r="B287" s="7"/>
    </row>
    <row r="288" s="8" customFormat="1" ht="12.75">
      <c r="B288" s="7"/>
    </row>
    <row r="289" s="8" customFormat="1" ht="12.75">
      <c r="B289" s="7"/>
    </row>
    <row r="290" s="8" customFormat="1" ht="12.75">
      <c r="B290" s="7"/>
    </row>
    <row r="291" s="8" customFormat="1" ht="12.75">
      <c r="B291" s="7"/>
    </row>
    <row r="292" s="8" customFormat="1" ht="12.75">
      <c r="B292" s="7"/>
    </row>
    <row r="293" s="8" customFormat="1" ht="12.75">
      <c r="B293" s="7"/>
    </row>
    <row r="294" s="8" customFormat="1" ht="12.75">
      <c r="B294" s="7"/>
    </row>
    <row r="295" s="8" customFormat="1" ht="12.75">
      <c r="B295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Houdek</dc:creator>
  <cp:keywords/>
  <dc:description/>
  <cp:lastModifiedBy>PC-418</cp:lastModifiedBy>
  <dcterms:created xsi:type="dcterms:W3CDTF">2001-05-22T15:38:53Z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