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5" windowWidth="12120" windowHeight="8790" activeTab="1"/>
  </bookViews>
  <sheets>
    <sheet name="READ!ME" sheetId="1" r:id="rId1"/>
    <sheet name="EVAII" sheetId="2" r:id="rId2"/>
    <sheet name="GRAPHS" sheetId="3" r:id="rId3"/>
  </sheets>
  <definedNames>
    <definedName name="CI">'EVAII'!$C$5</definedName>
    <definedName name="CII">'EVAII'!$E$5</definedName>
    <definedName name="CP">'EVAII'!$I$4</definedName>
    <definedName name="D">'EVAII'!$R$6</definedName>
    <definedName name="DDT1">'EVAII'!$R$2</definedName>
    <definedName name="DDT2">'EVAII'!$R$3</definedName>
    <definedName name="DPRIZE">'EVAII'!$T$3</definedName>
    <definedName name="DS">'EVAII'!$E$4</definedName>
    <definedName name="DS0">'EVAII'!$E$4</definedName>
    <definedName name="DTI">'EVAII'!$R$4</definedName>
    <definedName name="HI">'EVAII'!$G$7</definedName>
    <definedName name="HII">'EVAII'!$G$9</definedName>
    <definedName name="HL0">'EVAII'!$G$6</definedName>
    <definedName name="HLI">'EVAII'!$G$8</definedName>
    <definedName name="HLII">'EVAII'!$G$10</definedName>
    <definedName name="HOURS">'EVAII'!$T$4</definedName>
    <definedName name="HS">'EVAII'!$G$4</definedName>
    <definedName name="HS0">'EVAII'!$G$4</definedName>
    <definedName name="IND">'EVAII'!$L$14</definedName>
    <definedName name="KI">'EVAII'!$G$11</definedName>
    <definedName name="KII">'EVAII'!$I$11</definedName>
    <definedName name="KSI">'EVAII'!$C$11</definedName>
    <definedName name="KSII">'EVAII'!$E$11</definedName>
    <definedName name="M0">'EVAII'!$E$6</definedName>
    <definedName name="MF0">'EVAII'!$E$6</definedName>
    <definedName name="MI">'EVAII'!$E$8</definedName>
    <definedName name="MII">'EVAII'!$E$10</definedName>
    <definedName name="OMG0">'EVAII'!$I$6</definedName>
    <definedName name="OMGI">'EVAII'!$I$8</definedName>
    <definedName name="OMGII">'EVAII'!$I$10</definedName>
    <definedName name="PI">'EVAII'!$I$7</definedName>
    <definedName name="PII">'EVAII'!$I$9</definedName>
    <definedName name="RESET">'EVAII'!$A$13</definedName>
    <definedName name="RV">'EVAII'!$P$11</definedName>
    <definedName name="RV0">'EVAII'!$P$2</definedName>
    <definedName name="RV1">'EVAII'!$P$3</definedName>
    <definedName name="RV2">'EVAII'!$P$4</definedName>
    <definedName name="solver_adj" localSheetId="1" hidden="1">'EVAII'!$C$7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'EVAII'!$C$7</definedName>
    <definedName name="solver_lhs2" localSheetId="1" hidden="1">'EVAII'!$C$7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'EVAII'!$G$13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hs1" localSheetId="1" hidden="1">110</definedName>
    <definedName name="solver_rhs2" localSheetId="1" hidden="1">60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60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PRIZE">'EVAII'!$T$2</definedName>
    <definedName name="TI">'EVAII'!$C$7</definedName>
    <definedName name="TII">'EVAII'!$C$9</definedName>
    <definedName name="TL0">'EVAII'!$C$6</definedName>
    <definedName name="TLI">'EVAII'!$C$8</definedName>
    <definedName name="TLII">'EVAII'!$C$10</definedName>
    <definedName name="TS">'EVAII'!$C$4</definedName>
    <definedName name="TS0">'EVAII'!$C$4</definedName>
    <definedName name="WI">'EVAII'!$E$7</definedName>
    <definedName name="WII">'EVAII'!$E$9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<sst xmlns="http://schemas.openxmlformats.org/spreadsheetml/2006/main" count="102" uniqueCount="100">
  <si>
    <t>Two stage evaporator</t>
  </si>
  <si>
    <t>Calculation of HEAT TRANSFER AREA - optimisation and cost analysis</t>
  </si>
  <si>
    <t>Steady state, concurrent arrangement. Database of solutes (salts, suggars). Variable latent heat as well as boiling temperature elevation considered.</t>
  </si>
  <si>
    <t>Heat transfer coefficients must be calculated separatelly</t>
  </si>
  <si>
    <t>The list EVAII comprises a table, summarising</t>
  </si>
  <si>
    <t xml:space="preserve"> inputs</t>
  </si>
  <si>
    <t>blue cells</t>
  </si>
  <si>
    <t>Feed (mass flowrate, temperature, composition), Product (composition), Steam (temperature), Condenser (TII temperature), heat transfer coefficients</t>
  </si>
  <si>
    <t>estimates</t>
  </si>
  <si>
    <t>temperature of vapour at the first stage - can be optimised automatically</t>
  </si>
  <si>
    <t>results</t>
  </si>
  <si>
    <t>yellow cells (should not be rewritten)</t>
  </si>
  <si>
    <t>Physicochemical boiling temperature elevation</t>
  </si>
  <si>
    <t xml:space="preserve">Simplified sequential solution and cost analysis </t>
  </si>
  <si>
    <t>Concurrent arrangement</t>
  </si>
  <si>
    <t>Temperature dependent latent heat, constant heat capacities</t>
  </si>
  <si>
    <t>RV0=</t>
  </si>
  <si>
    <t>DDT1=</t>
  </si>
  <si>
    <r>
      <t>Kc/m</t>
    </r>
    <r>
      <rPr>
        <vertAlign val="superscript"/>
        <sz val="12"/>
        <rFont val="NimbusRoman"/>
        <family val="0"/>
      </rPr>
      <t>2</t>
    </r>
    <r>
      <rPr>
        <sz val="12"/>
        <rFont val="NimbusRoman"/>
        <family val="0"/>
      </rPr>
      <t>=</t>
    </r>
  </si>
  <si>
    <t>PARAMETERS [C],[Kg/s],[J/kg],[Pa] blue-inputs, green-design variable, yelow-calculated</t>
  </si>
  <si>
    <t>RV1=</t>
  </si>
  <si>
    <t>DDT2=</t>
  </si>
  <si>
    <t>Kc/kg=</t>
  </si>
  <si>
    <t>Steam</t>
  </si>
  <si>
    <t>TS</t>
  </si>
  <si>
    <t>DS</t>
  </si>
  <si>
    <t>HS</t>
  </si>
  <si>
    <t>CP</t>
  </si>
  <si>
    <t>RV2=</t>
  </si>
  <si>
    <t>DTI=</t>
  </si>
  <si>
    <t>Hours=</t>
  </si>
  <si>
    <t>Condensate</t>
  </si>
  <si>
    <t>CI</t>
  </si>
  <si>
    <t>CII</t>
  </si>
  <si>
    <t>Feed1</t>
  </si>
  <si>
    <t>TL0</t>
  </si>
  <si>
    <t>M0</t>
  </si>
  <si>
    <t>HL0</t>
  </si>
  <si>
    <t>OMG0</t>
  </si>
  <si>
    <t>TI[C]</t>
  </si>
  <si>
    <t>D[kg/s]</t>
  </si>
  <si>
    <t>Z</t>
  </si>
  <si>
    <r>
      <t>W</t>
    </r>
    <r>
      <rPr>
        <vertAlign val="subscript"/>
        <sz val="12"/>
        <rFont val="NimbusRoman"/>
        <family val="0"/>
      </rPr>
      <t>1</t>
    </r>
    <r>
      <rPr>
        <sz val="12"/>
        <rFont val="NimbusRoman"/>
        <family val="0"/>
      </rPr>
      <t>[kg/s]</t>
    </r>
  </si>
  <si>
    <r>
      <t>W</t>
    </r>
    <r>
      <rPr>
        <vertAlign val="subscript"/>
        <sz val="12"/>
        <rFont val="NimbusRoman"/>
        <family val="0"/>
      </rPr>
      <t>2</t>
    </r>
    <r>
      <rPr>
        <sz val="12"/>
        <rFont val="NimbusRoman"/>
        <family val="0"/>
      </rPr>
      <t>[kg/s]</t>
    </r>
  </si>
  <si>
    <r>
      <t>M</t>
    </r>
    <r>
      <rPr>
        <vertAlign val="subscript"/>
        <sz val="12"/>
        <rFont val="NimbusRoman"/>
        <family val="0"/>
      </rPr>
      <t>1</t>
    </r>
    <r>
      <rPr>
        <sz val="12"/>
        <rFont val="NimbusRoman"/>
        <family val="0"/>
      </rPr>
      <t>[kg/s]</t>
    </r>
  </si>
  <si>
    <r>
      <t>w</t>
    </r>
    <r>
      <rPr>
        <vertAlign val="subscript"/>
        <sz val="12"/>
        <rFont val="NimbusRoman"/>
        <family val="0"/>
      </rPr>
      <t>1</t>
    </r>
  </si>
  <si>
    <t>D/W</t>
  </si>
  <si>
    <r>
      <t>S</t>
    </r>
    <r>
      <rPr>
        <vertAlign val="subscript"/>
        <sz val="12"/>
        <rFont val="NimbusRoman"/>
        <family val="0"/>
      </rPr>
      <t>1</t>
    </r>
    <r>
      <rPr>
        <sz val="12"/>
        <rFont val="NimbusRoman"/>
        <family val="0"/>
      </rPr>
      <t>[m</t>
    </r>
    <r>
      <rPr>
        <vertAlign val="superscript"/>
        <sz val="12"/>
        <rFont val="NimbusRoman"/>
        <family val="0"/>
      </rPr>
      <t>2</t>
    </r>
    <r>
      <rPr>
        <sz val="12"/>
        <rFont val="NimbusRoman"/>
        <family val="0"/>
      </rPr>
      <t>]</t>
    </r>
  </si>
  <si>
    <r>
      <t>S</t>
    </r>
    <r>
      <rPr>
        <vertAlign val="subscript"/>
        <sz val="12"/>
        <rFont val="NimbusRoman"/>
        <family val="0"/>
      </rPr>
      <t>2</t>
    </r>
    <r>
      <rPr>
        <sz val="12"/>
        <rFont val="NimbusRoman"/>
        <family val="0"/>
      </rPr>
      <t>[m</t>
    </r>
    <r>
      <rPr>
        <vertAlign val="superscript"/>
        <sz val="12"/>
        <rFont val="NimbusRoman"/>
        <family val="0"/>
      </rPr>
      <t>2</t>
    </r>
    <r>
      <rPr>
        <sz val="12"/>
        <rFont val="NimbusRoman"/>
        <family val="0"/>
      </rPr>
      <t>]</t>
    </r>
  </si>
  <si>
    <r>
      <t>S</t>
    </r>
    <r>
      <rPr>
        <vertAlign val="subscript"/>
        <sz val="12"/>
        <rFont val="NimbusRoman"/>
        <family val="0"/>
      </rPr>
      <t>1</t>
    </r>
    <r>
      <rPr>
        <sz val="12"/>
        <rFont val="NimbusRoman"/>
        <family val="0"/>
      </rPr>
      <t>+S</t>
    </r>
    <r>
      <rPr>
        <vertAlign val="subscript"/>
        <sz val="12"/>
        <rFont val="NimbusRoman"/>
        <family val="0"/>
      </rPr>
      <t>2</t>
    </r>
  </si>
  <si>
    <t>PRIZE</t>
  </si>
  <si>
    <t>Vapour1</t>
  </si>
  <si>
    <t>TI</t>
  </si>
  <si>
    <t>WI</t>
  </si>
  <si>
    <t>HI</t>
  </si>
  <si>
    <t>PI</t>
  </si>
  <si>
    <t>Feed2</t>
  </si>
  <si>
    <t>TLI</t>
  </si>
  <si>
    <t>MI</t>
  </si>
  <si>
    <t>HLI</t>
  </si>
  <si>
    <t>OMGI</t>
  </si>
  <si>
    <t>Vapour2</t>
  </si>
  <si>
    <t>TII</t>
  </si>
  <si>
    <t>WII</t>
  </si>
  <si>
    <t>HII</t>
  </si>
  <si>
    <t>PII</t>
  </si>
  <si>
    <t>Product</t>
  </si>
  <si>
    <t>TLII</t>
  </si>
  <si>
    <t>MII</t>
  </si>
  <si>
    <t>HLII</t>
  </si>
  <si>
    <t>OMGII</t>
  </si>
  <si>
    <t>Heat surfaces</t>
  </si>
  <si>
    <t>KSI</t>
  </si>
  <si>
    <t>KSII</t>
  </si>
  <si>
    <t>KI</t>
  </si>
  <si>
    <t>KII</t>
  </si>
  <si>
    <t xml:space="preserve"> </t>
  </si>
  <si>
    <t>Heat transfer area =</t>
  </si>
  <si>
    <r>
      <t>m</t>
    </r>
    <r>
      <rPr>
        <b/>
        <vertAlign val="superscript"/>
        <sz val="16"/>
        <rFont val="NimbusRoman"/>
        <family val="0"/>
      </rPr>
      <t>2</t>
    </r>
  </si>
  <si>
    <t>D/W=</t>
  </si>
  <si>
    <t>omega</t>
  </si>
  <si>
    <t>dT</t>
  </si>
  <si>
    <t>S2/S1=</t>
  </si>
  <si>
    <t>NaCl</t>
  </si>
  <si>
    <t>W2/W1=</t>
  </si>
  <si>
    <t>KCl</t>
  </si>
  <si>
    <t>NH4Cl</t>
  </si>
  <si>
    <t>NaNO3</t>
  </si>
  <si>
    <t>KNO3</t>
  </si>
  <si>
    <t>NH4NO3</t>
  </si>
  <si>
    <t>Cukr</t>
  </si>
  <si>
    <t>(NH4)2SO4</t>
  </si>
  <si>
    <t>H2SO4</t>
  </si>
  <si>
    <r>
      <t>k</t>
    </r>
    <r>
      <rPr>
        <vertAlign val="subscript"/>
        <sz val="12"/>
        <rFont val="NimbusRoman"/>
        <family val="0"/>
      </rPr>
      <t>2</t>
    </r>
    <r>
      <rPr>
        <sz val="12"/>
        <rFont val="NimbusRoman"/>
        <family val="0"/>
      </rPr>
      <t>S</t>
    </r>
    <r>
      <rPr>
        <vertAlign val="subscript"/>
        <sz val="12"/>
        <rFont val="NimbusRoman"/>
        <family val="0"/>
      </rPr>
      <t>2</t>
    </r>
    <r>
      <rPr>
        <sz val="12"/>
        <rFont val="NimbusRoman"/>
        <family val="0"/>
      </rPr>
      <t>=</t>
    </r>
  </si>
  <si>
    <t>NaOH</t>
  </si>
  <si>
    <t>KOH</t>
  </si>
  <si>
    <t>CaCl2</t>
  </si>
  <si>
    <t>MgCl2</t>
  </si>
  <si>
    <r>
      <t>k</t>
    </r>
    <r>
      <rPr>
        <vertAlign val="subscript"/>
        <sz val="12"/>
        <rFont val="NimbusRoman"/>
        <family val="0"/>
      </rPr>
      <t>1</t>
    </r>
    <r>
      <rPr>
        <sz val="12"/>
        <rFont val="NimbusRoman"/>
        <family val="0"/>
      </rPr>
      <t>S</t>
    </r>
    <r>
      <rPr>
        <vertAlign val="subscript"/>
        <sz val="12"/>
        <rFont val="NimbusRoman"/>
        <family val="0"/>
      </rPr>
      <t>1</t>
    </r>
    <r>
      <rPr>
        <sz val="12"/>
        <rFont val="NimbusRoman"/>
        <family val="0"/>
      </rPr>
      <t>=</t>
    </r>
  </si>
  <si>
    <t>Last update december 2000 for MS Excel 7 (Basic routine had to be modified)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</si>
</sst>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1">
    <font>
      <sz val="12"/>
      <name val="NimbusRoman"/>
      <family val="0"/>
    </font>
    <font>
      <b/>
      <sz val="12"/>
      <name val="NimbusRoman"/>
      <family val="0"/>
    </font>
    <font>
      <i/>
      <sz val="12"/>
      <name val="NimbusRoman"/>
      <family val="0"/>
    </font>
    <font>
      <b/>
      <i/>
      <sz val="12"/>
      <name val="NimbusRoman"/>
      <family val="0"/>
    </font>
    <font>
      <b/>
      <sz val="16"/>
      <name val="NimbusRoman"/>
      <family val="0"/>
    </font>
    <font>
      <b/>
      <sz val="14"/>
      <name val="NimbusRoman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2"/>
      <color indexed="9"/>
      <name val="NimbusRoman"/>
      <family val="0"/>
    </font>
    <font>
      <b/>
      <sz val="20"/>
      <name val="NimbusRoman"/>
      <family val="0"/>
    </font>
    <font>
      <sz val="20"/>
      <name val="NimbusRoman"/>
      <family val="0"/>
    </font>
    <font>
      <b/>
      <sz val="12"/>
      <name val="Helv"/>
      <family val="0"/>
    </font>
    <font>
      <vertAlign val="superscript"/>
      <sz val="12"/>
      <name val="NimbusRoman"/>
      <family val="0"/>
    </font>
    <font>
      <vertAlign val="subscript"/>
      <sz val="12"/>
      <name val="NimbusRoman"/>
      <family val="0"/>
    </font>
    <font>
      <sz val="12"/>
      <name val="Symbol"/>
      <family val="1"/>
    </font>
    <font>
      <b/>
      <vertAlign val="superscript"/>
      <sz val="16"/>
      <name val="NimbusRoman"/>
      <family val="0"/>
    </font>
    <font>
      <sz val="8"/>
      <name val="Symbol"/>
      <family val="1"/>
    </font>
    <font>
      <b/>
      <sz val="16"/>
      <name val="Arial CE"/>
      <family val="2"/>
    </font>
    <font>
      <sz val="8"/>
      <name val="Tahoma"/>
      <family val="2"/>
    </font>
    <font>
      <sz val="8"/>
      <name val="NimbusRoman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4" fontId="0" fillId="2" borderId="1" xfId="0" applyNumberFormat="1" applyFill="1" applyBorder="1" applyAlignment="1">
      <alignment/>
    </xf>
    <xf numFmtId="0" fontId="0" fillId="3" borderId="0" xfId="0" applyFill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9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64" fontId="1" fillId="5" borderId="0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1" fontId="1" fillId="7" borderId="0" xfId="0" applyNumberFormat="1" applyFont="1" applyFill="1" applyBorder="1" applyAlignment="1">
      <alignment/>
    </xf>
    <xf numFmtId="1" fontId="1" fillId="7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9" borderId="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4" fillId="2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right"/>
    </xf>
    <xf numFmtId="164" fontId="1" fillId="8" borderId="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166" fontId="0" fillId="11" borderId="7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65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2" fontId="0" fillId="0" borderId="5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15" fillId="11" borderId="7" xfId="0" applyFont="1" applyFill="1" applyBorder="1" applyAlignment="1">
      <alignment horizontal="center"/>
    </xf>
    <xf numFmtId="165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1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6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8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Boiling point elevation</a:t>
            </a:r>
          </a:p>
        </c:rich>
      </c:tx>
      <c:layout>
        <c:manualLayout>
          <c:xMode val="factor"/>
          <c:yMode val="factor"/>
          <c:x val="-0.06925"/>
          <c:y val="0.054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25"/>
          <c:h val="0.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EVAII!$N$14</c:f>
              <c:strCache>
                <c:ptCount val="1"/>
                <c:pt idx="0">
                  <c:v>dT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EVAII!$M$15:$M$25</c:f>
              <c:numCache/>
            </c:numRef>
          </c:xVal>
          <c:yVal>
            <c:numRef>
              <c:f>EVAII!$N$15:$N$25</c:f>
              <c:numCache/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EVAII!$M$2:$M$4</c:f>
              <c:numCache/>
            </c:numRef>
          </c:xVal>
          <c:yVal>
            <c:numRef>
              <c:f>EVAII!$N$2:$N$4</c:f>
              <c:numCache/>
            </c:numRef>
          </c:yVal>
          <c:smooth val="0"/>
        </c:ser>
        <c:axId val="59758498"/>
        <c:axId val="955571"/>
      </c:scatterChart>
      <c:val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Mass fraction </a:t>
                </a:r>
                <a:r>
                  <a:rPr lang="en-US" cap="none" sz="800" b="0" i="0" u="none" baseline="0"/>
                  <a:t>w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crossBetween val="midCat"/>
        <c:dispUnits/>
      </c:valAx>
      <c:valAx>
        <c:axId val="9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DT[C]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Steam consumption, HT surface</a:t>
            </a:r>
          </a:p>
        </c:rich>
      </c:tx>
      <c:layout>
        <c:manualLayout>
          <c:xMode val="factor"/>
          <c:yMode val="factor"/>
          <c:x val="0.00375"/>
          <c:y val="-0.018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"/>
          <c:w val="0.984"/>
          <c:h val="0.994"/>
        </c:manualLayout>
      </c:layout>
      <c:scatterChart>
        <c:scatterStyle val="lineMarker"/>
        <c:varyColors val="0"/>
        <c:ser>
          <c:idx val="6"/>
          <c:order val="0"/>
          <c:tx>
            <c:strRef>
              <c:f>EVAII!$V$6</c:f>
              <c:strCache>
                <c:ptCount val="1"/>
                <c:pt idx="0">
                  <c:v>D/W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EVAII!$O$7:$O$23</c:f>
              <c:numCache/>
            </c:numRef>
          </c:xVal>
          <c:yVal>
            <c:numRef>
              <c:f>EVAII!$V$7:$V$23</c:f>
              <c:numCache/>
            </c:numRef>
          </c:yVal>
          <c:smooth val="1"/>
        </c:ser>
        <c:axId val="8600140"/>
        <c:axId val="10292397"/>
      </c:scatterChart>
      <c:scatterChart>
        <c:scatterStyle val="lineMarker"/>
        <c:varyColors val="0"/>
        <c:ser>
          <c:idx val="9"/>
          <c:order val="1"/>
          <c:tx>
            <c:strRef>
              <c:f>EVAII!$Y$6</c:f>
              <c:strCache>
                <c:ptCount val="1"/>
                <c:pt idx="0">
                  <c:v>S1+S2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EVAII!$O$7:$O$23</c:f>
              <c:numCache/>
            </c:numRef>
          </c:xVal>
          <c:yVal>
            <c:numRef>
              <c:f>EVAII!$Y$7:$Y$23</c:f>
              <c:numCache/>
            </c:numRef>
          </c:yVal>
          <c:smooth val="1"/>
        </c:ser>
        <c:axId val="25522710"/>
        <c:axId val="28377799"/>
      </c:scatterChart>
      <c:valAx>
        <c:axId val="860014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10292397"/>
        <c:crosses val="autoZero"/>
        <c:crossBetween val="midCat"/>
        <c:dispUnits/>
        <c:majorUnit val="10"/>
        <c:minorUnit val="1"/>
      </c:valAx>
      <c:valAx>
        <c:axId val="10292397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D/W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8600140"/>
        <c:crosses val="autoZero"/>
        <c:crossBetween val="midCat"/>
        <c:dispUnits/>
      </c:valAx>
      <c:valAx>
        <c:axId val="25522710"/>
        <c:scaling>
          <c:orientation val="minMax"/>
        </c:scaling>
        <c:axPos val="b"/>
        <c:delete val="1"/>
        <c:majorTickMark val="in"/>
        <c:minorTickMark val="none"/>
        <c:tickLblPos val="nextTo"/>
        <c:crossAx val="28377799"/>
        <c:crosses val="max"/>
        <c:crossBetween val="midCat"/>
        <c:dispUnits/>
      </c:valAx>
      <c:valAx>
        <c:axId val="2837779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55227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32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Cost analysis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"/>
          <c:w val="0.988"/>
          <c:h val="0.964"/>
        </c:manualLayout>
      </c:layout>
      <c:scatterChart>
        <c:scatterStyle val="lineMarker"/>
        <c:varyColors val="0"/>
        <c:ser>
          <c:idx val="10"/>
          <c:order val="0"/>
          <c:tx>
            <c:strRef>
              <c:f>EVAII!$Z$6</c:f>
              <c:strCache>
                <c:ptCount val="1"/>
                <c:pt idx="0">
                  <c:v>PRIZE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EVAII!$O$7:$O$23</c:f>
              <c:numCache/>
            </c:numRef>
          </c:xVal>
          <c:yVal>
            <c:numRef>
              <c:f>EVAII!$Z$7:$Z$23</c:f>
              <c:numCache/>
            </c:numRef>
          </c:yVal>
          <c:smooth val="1"/>
        </c:ser>
        <c:axId val="54073600"/>
        <c:axId val="16900353"/>
      </c:scatterChart>
      <c:valAx>
        <c:axId val="5407360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T1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crossBetween val="midCat"/>
        <c:dispUnits/>
      </c:valAx>
      <c:valAx>
        <c:axId val="1690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Cost [Kc]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Steam consumption, HT surface</a:t>
            </a:r>
          </a:p>
        </c:rich>
      </c:tx>
      <c:layout>
        <c:manualLayout>
          <c:xMode val="factor"/>
          <c:yMode val="factor"/>
          <c:x val="-0.1085"/>
          <c:y val="-0.021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"/>
          <c:w val="0.887"/>
          <c:h val="0.91175"/>
        </c:manualLayout>
      </c:layout>
      <c:scatterChart>
        <c:scatterStyle val="lineMarker"/>
        <c:varyColors val="0"/>
        <c:ser>
          <c:idx val="6"/>
          <c:order val="0"/>
          <c:tx>
            <c:strRef>
              <c:f>EVAII!$V$6</c:f>
              <c:strCache>
                <c:ptCount val="1"/>
                <c:pt idx="0">
                  <c:v>D/W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EVAII!$O$7:$O$23</c:f>
              <c:numCache>
                <c:ptCount val="17"/>
                <c:pt idx="0">
                  <c:v>53.888888888888886</c:v>
                </c:pt>
                <c:pt idx="1">
                  <c:v>57.77777777777777</c:v>
                </c:pt>
                <c:pt idx="2">
                  <c:v>61.66666666666666</c:v>
                </c:pt>
                <c:pt idx="3">
                  <c:v>65.55555555555554</c:v>
                </c:pt>
                <c:pt idx="4">
                  <c:v>69.44444444444443</c:v>
                </c:pt>
                <c:pt idx="5">
                  <c:v>73.33333333333331</c:v>
                </c:pt>
                <c:pt idx="6">
                  <c:v>77.2222222222222</c:v>
                </c:pt>
                <c:pt idx="7">
                  <c:v>81.11111111111109</c:v>
                </c:pt>
                <c:pt idx="8">
                  <c:v>84.99999999999997</c:v>
                </c:pt>
                <c:pt idx="9">
                  <c:v>88.88888888888886</c:v>
                </c:pt>
                <c:pt idx="10">
                  <c:v>92.77777777777774</c:v>
                </c:pt>
                <c:pt idx="11">
                  <c:v>96.66666666666663</c:v>
                </c:pt>
                <c:pt idx="12">
                  <c:v>100.55555555555551</c:v>
                </c:pt>
                <c:pt idx="13">
                  <c:v>104.4444444444444</c:v>
                </c:pt>
                <c:pt idx="14">
                  <c:v>108.33333333333329</c:v>
                </c:pt>
                <c:pt idx="15">
                  <c:v>112.22222222222217</c:v>
                </c:pt>
                <c:pt idx="16">
                  <c:v>116.11111111111106</c:v>
                </c:pt>
              </c:numCache>
            </c:numRef>
          </c:xVal>
          <c:yVal>
            <c:numRef>
              <c:f>EVAII!$V$7:$V$23</c:f>
              <c:numCache>
                <c:ptCount val="17"/>
                <c:pt idx="0">
                  <c:v>0.5208742178541468</c:v>
                </c:pt>
                <c:pt idx="1">
                  <c:v>0.5275077234620418</c:v>
                </c:pt>
                <c:pt idx="2">
                  <c:v>0.5341224649229365</c:v>
                </c:pt>
                <c:pt idx="3">
                  <c:v>0.5407182425297785</c:v>
                </c:pt>
                <c:pt idx="4">
                  <c:v>0.5472948537314453</c:v>
                </c:pt>
                <c:pt idx="5">
                  <c:v>0.5538520930819352</c:v>
                </c:pt>
                <c:pt idx="6">
                  <c:v>0.560389752188466</c:v>
                </c:pt>
                <c:pt idx="7">
                  <c:v>0.5669076196584487</c:v>
                </c:pt>
                <c:pt idx="8">
                  <c:v>0.5734054810453173</c:v>
                </c:pt>
                <c:pt idx="9">
                  <c:v>0.5798831187931771</c:v>
                </c:pt>
                <c:pt idx="10">
                  <c:v>0.5863403121802456</c:v>
                </c:pt>
                <c:pt idx="11">
                  <c:v>0.5927768372610553</c:v>
                </c:pt>
                <c:pt idx="12">
                  <c:v>0.5991924668073836</c:v>
                </c:pt>
                <c:pt idx="13">
                  <c:v>0.605586970247881</c:v>
                </c:pt>
                <c:pt idx="14">
                  <c:v>0.6119601136063624</c:v>
                </c:pt>
                <c:pt idx="15">
                  <c:v>0.6183116594387229</c:v>
                </c:pt>
                <c:pt idx="16">
                  <c:v>0.6246413667684504</c:v>
                </c:pt>
              </c:numCache>
            </c:numRef>
          </c:yVal>
          <c:smooth val="1"/>
        </c:ser>
        <c:axId val="17885450"/>
        <c:axId val="26751323"/>
      </c:scatterChart>
      <c:scatterChart>
        <c:scatterStyle val="lineMarker"/>
        <c:varyColors val="0"/>
        <c:ser>
          <c:idx val="9"/>
          <c:order val="1"/>
          <c:tx>
            <c:strRef>
              <c:f>EVAII!$Y$6</c:f>
              <c:strCache>
                <c:ptCount val="1"/>
                <c:pt idx="0">
                  <c:v>S1+S2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EVAII!$O$7:$O$23</c:f>
              <c:numCache>
                <c:ptCount val="17"/>
                <c:pt idx="0">
                  <c:v>53.888888888888886</c:v>
                </c:pt>
                <c:pt idx="1">
                  <c:v>57.77777777777777</c:v>
                </c:pt>
                <c:pt idx="2">
                  <c:v>61.66666666666666</c:v>
                </c:pt>
                <c:pt idx="3">
                  <c:v>65.55555555555554</c:v>
                </c:pt>
                <c:pt idx="4">
                  <c:v>69.44444444444443</c:v>
                </c:pt>
                <c:pt idx="5">
                  <c:v>73.33333333333331</c:v>
                </c:pt>
                <c:pt idx="6">
                  <c:v>77.2222222222222</c:v>
                </c:pt>
                <c:pt idx="7">
                  <c:v>81.11111111111109</c:v>
                </c:pt>
                <c:pt idx="8">
                  <c:v>84.99999999999997</c:v>
                </c:pt>
                <c:pt idx="9">
                  <c:v>88.88888888888886</c:v>
                </c:pt>
                <c:pt idx="10">
                  <c:v>92.77777777777774</c:v>
                </c:pt>
                <c:pt idx="11">
                  <c:v>96.66666666666663</c:v>
                </c:pt>
                <c:pt idx="12">
                  <c:v>100.55555555555551</c:v>
                </c:pt>
                <c:pt idx="13">
                  <c:v>104.4444444444444</c:v>
                </c:pt>
                <c:pt idx="14">
                  <c:v>108.33333333333329</c:v>
                </c:pt>
                <c:pt idx="15">
                  <c:v>112.22222222222217</c:v>
                </c:pt>
                <c:pt idx="16">
                  <c:v>116.11111111111106</c:v>
                </c:pt>
              </c:numCache>
            </c:numRef>
          </c:xVal>
          <c:yVal>
            <c:numRef>
              <c:f>EVAII!$Y$7:$Y$23</c:f>
              <c:numCache>
                <c:ptCount val="17"/>
                <c:pt idx="0">
                  <c:v>2.817609636168123</c:v>
                </c:pt>
                <c:pt idx="1">
                  <c:v>3.035013582799668</c:v>
                </c:pt>
                <c:pt idx="2">
                  <c:v>3.2818409640597763</c:v>
                </c:pt>
                <c:pt idx="3">
                  <c:v>3.5645241937841994</c:v>
                </c:pt>
                <c:pt idx="4">
                  <c:v>336.3838308634647</c:v>
                </c:pt>
                <c:pt idx="5">
                  <c:v>123.91376328570958</c:v>
                </c:pt>
                <c:pt idx="6">
                  <c:v>77.36752752997093</c:v>
                </c:pt>
                <c:pt idx="7">
                  <c:v>57.26724144549163</c:v>
                </c:pt>
                <c:pt idx="8">
                  <c:v>46.33315843110319</c:v>
                </c:pt>
                <c:pt idx="9">
                  <c:v>39.7416355523123</c:v>
                </c:pt>
                <c:pt idx="10">
                  <c:v>35.665888889411804</c:v>
                </c:pt>
                <c:pt idx="11">
                  <c:v>33.340180716818054</c:v>
                </c:pt>
                <c:pt idx="12">
                  <c:v>32.529756420803324</c:v>
                </c:pt>
                <c:pt idx="13">
                  <c:v>33.462087149994645</c:v>
                </c:pt>
                <c:pt idx="14">
                  <c:v>37.214081862763706</c:v>
                </c:pt>
                <c:pt idx="15">
                  <c:v>47.82949188649541</c:v>
                </c:pt>
                <c:pt idx="16">
                  <c:v>92.48467343133859</c:v>
                </c:pt>
              </c:numCache>
            </c:numRef>
          </c:yVal>
          <c:smooth val="1"/>
        </c:ser>
        <c:axId val="39435316"/>
        <c:axId val="19373525"/>
      </c:scatterChart>
      <c:valAx>
        <c:axId val="1788545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26751323"/>
        <c:crosses val="autoZero"/>
        <c:crossBetween val="midCat"/>
        <c:dispUnits/>
        <c:majorUnit val="10"/>
        <c:minorUnit val="1"/>
      </c:valAx>
      <c:valAx>
        <c:axId val="2675132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D/W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7885450"/>
        <c:crosses val="autoZero"/>
        <c:crossBetween val="midCat"/>
        <c:dispUnits/>
      </c:valAx>
      <c:valAx>
        <c:axId val="39435316"/>
        <c:scaling>
          <c:orientation val="minMax"/>
        </c:scaling>
        <c:axPos val="b"/>
        <c:delete val="1"/>
        <c:majorTickMark val="in"/>
        <c:minorTickMark val="none"/>
        <c:tickLblPos val="nextTo"/>
        <c:crossAx val="19373525"/>
        <c:crosses val="max"/>
        <c:crossBetween val="midCat"/>
        <c:dispUnits/>
      </c:valAx>
      <c:valAx>
        <c:axId val="19373525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394353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5"/>
          <c:y val="0.4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123825</xdr:rowOff>
    </xdr:from>
    <xdr:to>
      <xdr:col>10</xdr:col>
      <xdr:colOff>76200</xdr:colOff>
      <xdr:row>22</xdr:row>
      <xdr:rowOff>161925</xdr:rowOff>
    </xdr:to>
    <xdr:grpSp>
      <xdr:nvGrpSpPr>
        <xdr:cNvPr id="1" name="Group 19"/>
        <xdr:cNvGrpSpPr>
          <a:grpSpLocks/>
        </xdr:cNvGrpSpPr>
      </xdr:nvGrpSpPr>
      <xdr:grpSpPr>
        <a:xfrm>
          <a:off x="2619375" y="1638300"/>
          <a:ext cx="5838825" cy="2905125"/>
          <a:chOff x="80" y="344"/>
          <a:chExt cx="501" cy="320"/>
        </a:xfrm>
        <a:solidFill>
          <a:srgbClr val="FFFFFF"/>
        </a:solidFill>
      </xdr:grpSpPr>
      <xdr:sp>
        <xdr:nvSpPr>
          <xdr:cNvPr id="2" name="Line 20"/>
          <xdr:cNvSpPr>
            <a:spLocks/>
          </xdr:cNvSpPr>
        </xdr:nvSpPr>
        <xdr:spPr>
          <a:xfrm flipH="1">
            <a:off x="261" y="579"/>
            <a:ext cx="51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NimbusRoman"/>
                <a:ea typeface="NimbusRoman"/>
                <a:cs typeface="NimbusRoman"/>
              </a:rPr>
              <a:t/>
            </a:r>
          </a:p>
        </xdr:txBody>
      </xdr:sp>
      <xdr:sp>
        <xdr:nvSpPr>
          <xdr:cNvPr id="3" name="Line 21"/>
          <xdr:cNvSpPr>
            <a:spLocks/>
          </xdr:cNvSpPr>
        </xdr:nvSpPr>
        <xdr:spPr>
          <a:xfrm flipV="1">
            <a:off x="325" y="440"/>
            <a:ext cx="49" cy="1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3333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NimbusRoman"/>
                <a:ea typeface="NimbusRoman"/>
                <a:cs typeface="NimbusRoman"/>
              </a:rPr>
              <a:t/>
            </a:r>
          </a:p>
        </xdr:txBody>
      </xdr:sp>
      <xdr:sp>
        <xdr:nvSpPr>
          <xdr:cNvPr id="4" name="Line 22"/>
          <xdr:cNvSpPr>
            <a:spLocks/>
          </xdr:cNvSpPr>
        </xdr:nvSpPr>
        <xdr:spPr>
          <a:xfrm flipH="1">
            <a:off x="503" y="500"/>
            <a:ext cx="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NimbusRoman"/>
                <a:ea typeface="NimbusRoman"/>
                <a:cs typeface="NimbusRoman"/>
              </a:rPr>
              <a:t/>
            </a:r>
          </a:p>
        </xdr:txBody>
      </xdr:sp>
      <xdr:grpSp>
        <xdr:nvGrpSpPr>
          <xdr:cNvPr id="5" name="Group 23"/>
          <xdr:cNvGrpSpPr>
            <a:grpSpLocks/>
          </xdr:cNvGrpSpPr>
        </xdr:nvGrpSpPr>
        <xdr:grpSpPr>
          <a:xfrm>
            <a:off x="80" y="344"/>
            <a:ext cx="501" cy="320"/>
            <a:chOff x="80" y="344"/>
            <a:chExt cx="501" cy="320"/>
          </a:xfrm>
          <a:solidFill>
            <a:srgbClr val="FFFFFF"/>
          </a:solidFill>
        </xdr:grpSpPr>
        <xdr:grpSp>
          <xdr:nvGrpSpPr>
            <xdr:cNvPr id="6" name="Group 24"/>
            <xdr:cNvGrpSpPr>
              <a:grpSpLocks/>
            </xdr:cNvGrpSpPr>
          </xdr:nvGrpSpPr>
          <xdr:grpSpPr>
            <a:xfrm>
              <a:off x="374" y="389"/>
              <a:ext cx="133" cy="137"/>
              <a:chOff x="-4404" y="-33500"/>
              <a:chExt cx="20482" cy="274"/>
            </a:xfrm>
            <a:solidFill>
              <a:srgbClr val="FFFFFF"/>
            </a:solidFill>
          </xdr:grpSpPr>
          <xdr:sp>
            <xdr:nvSpPr>
              <xdr:cNvPr id="7" name="Rectangle 25"/>
              <xdr:cNvSpPr>
                <a:spLocks/>
              </xdr:cNvSpPr>
            </xdr:nvSpPr>
            <xdr:spPr>
              <a:xfrm>
                <a:off x="-4404" y="-33444"/>
                <a:ext cx="19868" cy="216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8" name="Oval 26"/>
              <xdr:cNvSpPr>
                <a:spLocks/>
              </xdr:cNvSpPr>
            </xdr:nvSpPr>
            <xdr:spPr>
              <a:xfrm>
                <a:off x="215" y="-33500"/>
                <a:ext cx="9857" cy="112"/>
              </a:xfrm>
              <a:prstGeom prst="ellipse">
                <a:avLst/>
              </a:prstGeom>
              <a:solidFill>
                <a:srgbClr val="FFFF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9" name="Line 27"/>
              <xdr:cNvSpPr>
                <a:spLocks/>
              </xdr:cNvSpPr>
            </xdr:nvSpPr>
            <xdr:spPr>
              <a:xfrm>
                <a:off x="-4250" y="-33444"/>
                <a:ext cx="20328" cy="218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0" name="kreslení 12"/>
              <xdr:cNvSpPr>
                <a:spLocks/>
              </xdr:cNvSpPr>
            </xdr:nvSpPr>
            <xdr:spPr>
              <a:xfrm>
                <a:off x="-3324" y="-33444"/>
                <a:ext cx="18173" cy="198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269"/>
                    </a:lnTo>
                    <a:lnTo>
                      <a:pt x="16384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C0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</xdr:grpSp>
        <xdr:grpSp>
          <xdr:nvGrpSpPr>
            <xdr:cNvPr id="11" name="Group 29"/>
            <xdr:cNvGrpSpPr>
              <a:grpSpLocks/>
            </xdr:cNvGrpSpPr>
          </xdr:nvGrpSpPr>
          <xdr:grpSpPr>
            <a:xfrm>
              <a:off x="128" y="467"/>
              <a:ext cx="132" cy="143"/>
              <a:chOff x="-48" y="-55952"/>
              <a:chExt cx="19800" cy="286"/>
            </a:xfrm>
            <a:solidFill>
              <a:srgbClr val="FFFFFF"/>
            </a:solidFill>
          </xdr:grpSpPr>
          <xdr:sp>
            <xdr:nvSpPr>
              <xdr:cNvPr id="12" name="Rectangle 30"/>
              <xdr:cNvSpPr>
                <a:spLocks/>
              </xdr:cNvSpPr>
            </xdr:nvSpPr>
            <xdr:spPr>
              <a:xfrm>
                <a:off x="-48" y="-55892"/>
                <a:ext cx="19350" cy="222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3" name="Oval 31"/>
              <xdr:cNvSpPr>
                <a:spLocks/>
              </xdr:cNvSpPr>
            </xdr:nvSpPr>
            <xdr:spPr>
              <a:xfrm>
                <a:off x="4902" y="-55952"/>
                <a:ext cx="9598" cy="120"/>
              </a:xfrm>
              <a:prstGeom prst="ellipse">
                <a:avLst/>
              </a:prstGeom>
              <a:solidFill>
                <a:srgbClr val="FFFF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4" name="Line 32"/>
              <xdr:cNvSpPr>
                <a:spLocks/>
              </xdr:cNvSpPr>
            </xdr:nvSpPr>
            <xdr:spPr>
              <a:xfrm>
                <a:off x="101" y="-55892"/>
                <a:ext cx="19652" cy="226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5" name="kreslení 6"/>
              <xdr:cNvSpPr>
                <a:spLocks/>
              </xdr:cNvSpPr>
            </xdr:nvSpPr>
            <xdr:spPr>
              <a:xfrm>
                <a:off x="1150" y="-55888"/>
                <a:ext cx="17399" cy="202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269"/>
                    </a:lnTo>
                    <a:lnTo>
                      <a:pt x="16384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C0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</xdr:grpSp>
        <xdr:sp>
          <xdr:nvSpPr>
            <xdr:cNvPr id="16" name="Line 34"/>
            <xdr:cNvSpPr>
              <a:spLocks/>
            </xdr:cNvSpPr>
          </xdr:nvSpPr>
          <xdr:spPr>
            <a:xfrm>
              <a:off x="80" y="537"/>
              <a:ext cx="48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3333CC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17" name="Line 35"/>
            <xdr:cNvSpPr>
              <a:spLocks/>
            </xdr:cNvSpPr>
          </xdr:nvSpPr>
          <xdr:spPr>
            <a:xfrm>
              <a:off x="212" y="608"/>
              <a:ext cx="0" cy="5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18" name="Line 36"/>
            <xdr:cNvSpPr>
              <a:spLocks/>
            </xdr:cNvSpPr>
          </xdr:nvSpPr>
          <xdr:spPr>
            <a:xfrm>
              <a:off x="411" y="528"/>
              <a:ext cx="0" cy="1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 flipV="1">
              <a:off x="439" y="344"/>
              <a:ext cx="0" cy="4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3333CC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503" y="462"/>
              <a:ext cx="78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1" name="kreslení 21"/>
            <xdr:cNvSpPr>
              <a:spLocks/>
            </xdr:cNvSpPr>
          </xdr:nvSpPr>
          <xdr:spPr>
            <a:xfrm>
              <a:off x="193" y="441"/>
              <a:ext cx="129" cy="25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0"/>
                  </a:lnTo>
                  <a:lnTo>
                    <a:pt x="0" y="16384"/>
                  </a:lnTo>
                </a:path>
              </a:pathLst>
            </a:custGeom>
            <a:noFill/>
            <a:ln w="24765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2" name="kreslení 22"/>
            <xdr:cNvSpPr>
              <a:spLocks/>
            </xdr:cNvSpPr>
          </xdr:nvSpPr>
          <xdr:spPr>
            <a:xfrm>
              <a:off x="261" y="500"/>
              <a:ext cx="272" cy="59"/>
            </a:xfrm>
            <a:custGeom>
              <a:pathLst>
                <a:path h="16384" w="16384">
                  <a:moveTo>
                    <a:pt x="0" y="16384"/>
                  </a:moveTo>
                  <a:lnTo>
                    <a:pt x="16384" y="16384"/>
                  </a:lnTo>
                  <a:lnTo>
                    <a:pt x="16384" y="0"/>
                  </a:lnTo>
                </a:path>
              </a:pathLst>
            </a:custGeom>
            <a:noFill/>
            <a:ln w="2476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26</xdr:row>
      <xdr:rowOff>142875</xdr:rowOff>
    </xdr:from>
    <xdr:to>
      <xdr:col>8</xdr:col>
      <xdr:colOff>85725</xdr:colOff>
      <xdr:row>29</xdr:row>
      <xdr:rowOff>9525</xdr:rowOff>
    </xdr:to>
    <xdr:sp>
      <xdr:nvSpPr>
        <xdr:cNvPr id="1" name="text 26"/>
        <xdr:cNvSpPr txBox="1">
          <a:spLocks noChangeArrowheads="1"/>
        </xdr:cNvSpPr>
      </xdr:nvSpPr>
      <xdr:spPr>
        <a:xfrm>
          <a:off x="5067300" y="5553075"/>
          <a:ext cx="1333500" cy="466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NimbusRoman"/>
              <a:ea typeface="NimbusRoman"/>
              <a:cs typeface="NimbusRoman"/>
            </a:rPr>
            <a:t>Steam consumption</a:t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13</xdr:col>
      <xdr:colOff>752475</xdr:colOff>
      <xdr:row>11</xdr:row>
      <xdr:rowOff>142875</xdr:rowOff>
    </xdr:to>
    <xdr:graphicFrame>
      <xdr:nvGraphicFramePr>
        <xdr:cNvPr id="2" name="Chart 29"/>
        <xdr:cNvGraphicFramePr/>
      </xdr:nvGraphicFramePr>
      <xdr:xfrm>
        <a:off x="7010400" y="0"/>
        <a:ext cx="42291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114300</xdr:rowOff>
    </xdr:from>
    <xdr:to>
      <xdr:col>8</xdr:col>
      <xdr:colOff>571500</xdr:colOff>
      <xdr:row>29</xdr:row>
      <xdr:rowOff>76200</xdr:rowOff>
    </xdr:to>
    <xdr:grpSp>
      <xdr:nvGrpSpPr>
        <xdr:cNvPr id="3" name="Group 47"/>
        <xdr:cNvGrpSpPr>
          <a:grpSpLocks/>
        </xdr:cNvGrpSpPr>
      </xdr:nvGrpSpPr>
      <xdr:grpSpPr>
        <a:xfrm>
          <a:off x="952500" y="3143250"/>
          <a:ext cx="5934075" cy="2943225"/>
          <a:chOff x="80" y="344"/>
          <a:chExt cx="501" cy="320"/>
        </a:xfrm>
        <a:solidFill>
          <a:srgbClr val="FFFFFF"/>
        </a:solidFill>
      </xdr:grpSpPr>
      <xdr:sp>
        <xdr:nvSpPr>
          <xdr:cNvPr id="4" name="Line 15"/>
          <xdr:cNvSpPr>
            <a:spLocks/>
          </xdr:cNvSpPr>
        </xdr:nvSpPr>
        <xdr:spPr>
          <a:xfrm flipH="1">
            <a:off x="261" y="579"/>
            <a:ext cx="51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NimbusRoman"/>
                <a:ea typeface="NimbusRoman"/>
                <a:cs typeface="NimbusRoman"/>
              </a:rPr>
              <a:t/>
            </a:r>
          </a:p>
        </xdr:txBody>
      </xdr:sp>
      <xdr:sp>
        <xdr:nvSpPr>
          <xdr:cNvPr id="5" name="Line 19"/>
          <xdr:cNvSpPr>
            <a:spLocks/>
          </xdr:cNvSpPr>
        </xdr:nvSpPr>
        <xdr:spPr>
          <a:xfrm flipV="1">
            <a:off x="325" y="440"/>
            <a:ext cx="49" cy="1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3333CC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NimbusRoman"/>
                <a:ea typeface="NimbusRoman"/>
                <a:cs typeface="NimbusRoman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 flipH="1">
            <a:off x="503" y="500"/>
            <a:ext cx="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NimbusRoman"/>
                <a:ea typeface="NimbusRoman"/>
                <a:cs typeface="NimbusRoman"/>
              </a:rPr>
              <a:t/>
            </a:r>
          </a:p>
        </xdr:txBody>
      </xdr:sp>
      <xdr:grpSp>
        <xdr:nvGrpSpPr>
          <xdr:cNvPr id="7" name="Group 46"/>
          <xdr:cNvGrpSpPr>
            <a:grpSpLocks/>
          </xdr:cNvGrpSpPr>
        </xdr:nvGrpSpPr>
        <xdr:grpSpPr>
          <a:xfrm>
            <a:off x="80" y="344"/>
            <a:ext cx="501" cy="320"/>
            <a:chOff x="80" y="344"/>
            <a:chExt cx="501" cy="320"/>
          </a:xfrm>
          <a:solidFill>
            <a:srgbClr val="FFFFFF"/>
          </a:solidFill>
        </xdr:grpSpPr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374" y="389"/>
              <a:ext cx="133" cy="137"/>
              <a:chOff x="-4404" y="-33500"/>
              <a:chExt cx="20482" cy="274"/>
            </a:xfrm>
            <a:solidFill>
              <a:srgbClr val="FFFFFF"/>
            </a:solidFill>
          </xdr:grpSpPr>
          <xdr:sp>
            <xdr:nvSpPr>
              <xdr:cNvPr id="9" name="Rectangle 9"/>
              <xdr:cNvSpPr>
                <a:spLocks/>
              </xdr:cNvSpPr>
            </xdr:nvSpPr>
            <xdr:spPr>
              <a:xfrm>
                <a:off x="-4404" y="-33444"/>
                <a:ext cx="19868" cy="216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0" name="Oval 10"/>
              <xdr:cNvSpPr>
                <a:spLocks/>
              </xdr:cNvSpPr>
            </xdr:nvSpPr>
            <xdr:spPr>
              <a:xfrm>
                <a:off x="215" y="-33500"/>
                <a:ext cx="9857" cy="112"/>
              </a:xfrm>
              <a:prstGeom prst="ellipse">
                <a:avLst/>
              </a:prstGeom>
              <a:solidFill>
                <a:srgbClr val="FFFF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-4250" y="-33444"/>
                <a:ext cx="20328" cy="218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2" name="kreslení 12"/>
              <xdr:cNvSpPr>
                <a:spLocks/>
              </xdr:cNvSpPr>
            </xdr:nvSpPr>
            <xdr:spPr>
              <a:xfrm>
                <a:off x="-3324" y="-33444"/>
                <a:ext cx="18173" cy="198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269"/>
                    </a:lnTo>
                    <a:lnTo>
                      <a:pt x="16384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C0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</xdr:grpSp>
        <xdr:grpSp>
          <xdr:nvGrpSpPr>
            <xdr:cNvPr id="13" name="Group 7"/>
            <xdr:cNvGrpSpPr>
              <a:grpSpLocks/>
            </xdr:cNvGrpSpPr>
          </xdr:nvGrpSpPr>
          <xdr:grpSpPr>
            <a:xfrm>
              <a:off x="128" y="467"/>
              <a:ext cx="132" cy="143"/>
              <a:chOff x="-48" y="-55952"/>
              <a:chExt cx="19800" cy="286"/>
            </a:xfrm>
            <a:solidFill>
              <a:srgbClr val="FFFFFF"/>
            </a:solidFill>
          </xdr:grpSpPr>
          <xdr:sp>
            <xdr:nvSpPr>
              <xdr:cNvPr id="14" name="Rectangle 2"/>
              <xdr:cNvSpPr>
                <a:spLocks/>
              </xdr:cNvSpPr>
            </xdr:nvSpPr>
            <xdr:spPr>
              <a:xfrm>
                <a:off x="-48" y="-55892"/>
                <a:ext cx="19350" cy="222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5" name="Oval 4"/>
              <xdr:cNvSpPr>
                <a:spLocks/>
              </xdr:cNvSpPr>
            </xdr:nvSpPr>
            <xdr:spPr>
              <a:xfrm>
                <a:off x="4902" y="-55952"/>
                <a:ext cx="9598" cy="120"/>
              </a:xfrm>
              <a:prstGeom prst="ellipse">
                <a:avLst/>
              </a:prstGeom>
              <a:solidFill>
                <a:srgbClr val="FFFF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6" name="Line 5"/>
              <xdr:cNvSpPr>
                <a:spLocks/>
              </xdr:cNvSpPr>
            </xdr:nvSpPr>
            <xdr:spPr>
              <a:xfrm>
                <a:off x="101" y="-55892"/>
                <a:ext cx="19652" cy="226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  <xdr:sp>
            <xdr:nvSpPr>
              <xdr:cNvPr id="17" name="kreslení 6"/>
              <xdr:cNvSpPr>
                <a:spLocks/>
              </xdr:cNvSpPr>
            </xdr:nvSpPr>
            <xdr:spPr>
              <a:xfrm>
                <a:off x="1150" y="-55888"/>
                <a:ext cx="17399" cy="202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269"/>
                    </a:lnTo>
                    <a:lnTo>
                      <a:pt x="16384" y="1638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C0"/>
              </a:solidFill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NimbusRoman"/>
                    <a:ea typeface="NimbusRoman"/>
                    <a:cs typeface="NimbusRoman"/>
                  </a:rPr>
                  <a:t/>
                </a:r>
              </a:p>
            </xdr:txBody>
          </xdr:sp>
        </xdr:grpSp>
        <xdr:sp>
          <xdr:nvSpPr>
            <xdr:cNvPr id="18" name="Line 13"/>
            <xdr:cNvSpPr>
              <a:spLocks/>
            </xdr:cNvSpPr>
          </xdr:nvSpPr>
          <xdr:spPr>
            <a:xfrm>
              <a:off x="80" y="537"/>
              <a:ext cx="48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3333CC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19" name="Line 14"/>
            <xdr:cNvSpPr>
              <a:spLocks/>
            </xdr:cNvSpPr>
          </xdr:nvSpPr>
          <xdr:spPr>
            <a:xfrm>
              <a:off x="212" y="608"/>
              <a:ext cx="0" cy="5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0" name="Line 16"/>
            <xdr:cNvSpPr>
              <a:spLocks/>
            </xdr:cNvSpPr>
          </xdr:nvSpPr>
          <xdr:spPr>
            <a:xfrm>
              <a:off x="411" y="528"/>
              <a:ext cx="0" cy="1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1" name="Line 17"/>
            <xdr:cNvSpPr>
              <a:spLocks/>
            </xdr:cNvSpPr>
          </xdr:nvSpPr>
          <xdr:spPr>
            <a:xfrm flipV="1">
              <a:off x="439" y="344"/>
              <a:ext cx="0" cy="4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3333CC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2" name="Line 18"/>
            <xdr:cNvSpPr>
              <a:spLocks/>
            </xdr:cNvSpPr>
          </xdr:nvSpPr>
          <xdr:spPr>
            <a:xfrm>
              <a:off x="503" y="462"/>
              <a:ext cx="78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3" name="kreslení 21"/>
            <xdr:cNvSpPr>
              <a:spLocks/>
            </xdr:cNvSpPr>
          </xdr:nvSpPr>
          <xdr:spPr>
            <a:xfrm>
              <a:off x="193" y="441"/>
              <a:ext cx="129" cy="25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0"/>
                  </a:lnTo>
                  <a:lnTo>
                    <a:pt x="0" y="16384"/>
                  </a:lnTo>
                </a:path>
              </a:pathLst>
            </a:custGeom>
            <a:noFill/>
            <a:ln w="24765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  <xdr:sp>
          <xdr:nvSpPr>
            <xdr:cNvPr id="24" name="kreslení 22"/>
            <xdr:cNvSpPr>
              <a:spLocks/>
            </xdr:cNvSpPr>
          </xdr:nvSpPr>
          <xdr:spPr>
            <a:xfrm>
              <a:off x="261" y="500"/>
              <a:ext cx="272" cy="59"/>
            </a:xfrm>
            <a:custGeom>
              <a:pathLst>
                <a:path h="16384" w="16384">
                  <a:moveTo>
                    <a:pt x="0" y="16384"/>
                  </a:moveTo>
                  <a:lnTo>
                    <a:pt x="16384" y="16384"/>
                  </a:lnTo>
                  <a:lnTo>
                    <a:pt x="16384" y="0"/>
                  </a:lnTo>
                </a:path>
              </a:pathLst>
            </a:custGeom>
            <a:noFill/>
            <a:ln w="2476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NimbusRoman"/>
                  <a:ea typeface="NimbusRoman"/>
                  <a:cs typeface="NimbusRoman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381000</xdr:colOff>
      <xdr:row>15</xdr:row>
      <xdr:rowOff>9525</xdr:rowOff>
    </xdr:from>
    <xdr:to>
      <xdr:col>2</xdr:col>
      <xdr:colOff>390525</xdr:colOff>
      <xdr:row>16</xdr:row>
      <xdr:rowOff>28575</xdr:rowOff>
    </xdr:to>
    <xdr:sp>
      <xdr:nvSpPr>
        <xdr:cNvPr id="25" name="text 23"/>
        <xdr:cNvSpPr txBox="1">
          <a:spLocks noChangeArrowheads="1"/>
        </xdr:cNvSpPr>
      </xdr:nvSpPr>
      <xdr:spPr>
        <a:xfrm>
          <a:off x="381000" y="3238500"/>
          <a:ext cx="1533525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NimbusRoman"/>
              <a:ea typeface="NimbusRoman"/>
              <a:cs typeface="NimbusRoman"/>
            </a:rPr>
            <a:t>mass fractions</a:t>
          </a:r>
        </a:p>
      </xdr:txBody>
    </xdr:sp>
    <xdr:clientData/>
  </xdr:twoCellAnchor>
  <xdr:twoCellAnchor>
    <xdr:from>
      <xdr:col>0</xdr:col>
      <xdr:colOff>371475</xdr:colOff>
      <xdr:row>16</xdr:row>
      <xdr:rowOff>104775</xdr:rowOff>
    </xdr:from>
    <xdr:to>
      <xdr:col>2</xdr:col>
      <xdr:colOff>381000</xdr:colOff>
      <xdr:row>17</xdr:row>
      <xdr:rowOff>142875</xdr:rowOff>
    </xdr:to>
    <xdr:sp>
      <xdr:nvSpPr>
        <xdr:cNvPr id="26" name="text 24"/>
        <xdr:cNvSpPr txBox="1">
          <a:spLocks noChangeArrowheads="1"/>
        </xdr:cNvSpPr>
      </xdr:nvSpPr>
      <xdr:spPr>
        <a:xfrm>
          <a:off x="371475" y="3533775"/>
          <a:ext cx="1533525" cy="2381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NimbusRoman"/>
              <a:ea typeface="NimbusRoman"/>
              <a:cs typeface="NimbusRoman"/>
            </a:rPr>
            <a:t>temperatures</a:t>
          </a:r>
          <a:r>
            <a:rPr lang="en-US" cap="none" sz="1200" b="0" i="0" u="none" baseline="0">
              <a:latin typeface="NimbusRoman"/>
              <a:ea typeface="NimbusRoman"/>
              <a:cs typeface="NimbusRoman"/>
            </a:rPr>
            <a:t>
</a:t>
          </a:r>
        </a:p>
      </xdr:txBody>
    </xdr:sp>
    <xdr:clientData/>
  </xdr:twoCellAnchor>
  <xdr:twoCellAnchor>
    <xdr:from>
      <xdr:col>0</xdr:col>
      <xdr:colOff>371475</xdr:colOff>
      <xdr:row>18</xdr:row>
      <xdr:rowOff>28575</xdr:rowOff>
    </xdr:from>
    <xdr:to>
      <xdr:col>2</xdr:col>
      <xdr:colOff>390525</xdr:colOff>
      <xdr:row>19</xdr:row>
      <xdr:rowOff>66675</xdr:rowOff>
    </xdr:to>
    <xdr:sp>
      <xdr:nvSpPr>
        <xdr:cNvPr id="27" name="text 25"/>
        <xdr:cNvSpPr txBox="1">
          <a:spLocks noChangeArrowheads="1"/>
        </xdr:cNvSpPr>
      </xdr:nvSpPr>
      <xdr:spPr>
        <a:xfrm>
          <a:off x="371475" y="3857625"/>
          <a:ext cx="15430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NimbusRoman"/>
              <a:ea typeface="NimbusRoman"/>
              <a:cs typeface="NimbusRoman"/>
            </a:rPr>
            <a:t>mass flowrates</a:t>
          </a:r>
          <a:r>
            <a:rPr lang="en-US" cap="none" sz="1200" b="0" i="0" u="none" baseline="0">
              <a:latin typeface="NimbusRoman"/>
              <a:ea typeface="NimbusRoman"/>
              <a:cs typeface="NimbusRoman"/>
            </a:rPr>
            <a:t>
</a:t>
          </a:r>
        </a:p>
      </xdr:txBody>
    </xdr:sp>
    <xdr:clientData/>
  </xdr:twoCellAnchor>
  <xdr:twoCellAnchor>
    <xdr:from>
      <xdr:col>9</xdr:col>
      <xdr:colOff>85725</xdr:colOff>
      <xdr:row>11</xdr:row>
      <xdr:rowOff>95250</xdr:rowOff>
    </xdr:from>
    <xdr:to>
      <xdr:col>13</xdr:col>
      <xdr:colOff>923925</xdr:colOff>
      <xdr:row>24</xdr:row>
      <xdr:rowOff>190500</xdr:rowOff>
    </xdr:to>
    <xdr:graphicFrame>
      <xdr:nvGraphicFramePr>
        <xdr:cNvPr id="28" name="Chart 34"/>
        <xdr:cNvGraphicFramePr/>
      </xdr:nvGraphicFramePr>
      <xdr:xfrm>
        <a:off x="7058025" y="2476500"/>
        <a:ext cx="4352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771525</xdr:colOff>
      <xdr:row>7</xdr:row>
      <xdr:rowOff>28575</xdr:rowOff>
    </xdr:from>
    <xdr:to>
      <xdr:col>23</xdr:col>
      <xdr:colOff>657225</xdr:colOff>
      <xdr:row>25</xdr:row>
      <xdr:rowOff>76200</xdr:rowOff>
    </xdr:to>
    <xdr:graphicFrame>
      <xdr:nvGraphicFramePr>
        <xdr:cNvPr id="29" name="Chart 35"/>
        <xdr:cNvGraphicFramePr/>
      </xdr:nvGraphicFramePr>
      <xdr:xfrm>
        <a:off x="13144500" y="1647825"/>
        <a:ext cx="6534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771525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6638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10"/>
  <sheetViews>
    <sheetView workbookViewId="0" topLeftCell="A43">
      <selection activeCell="K59" sqref="K59"/>
    </sheetView>
  </sheetViews>
  <sheetFormatPr defaultColWidth="8.796875" defaultRowHeight="15"/>
  <sheetData>
    <row r="1" spans="1:5" ht="26.25">
      <c r="A1" s="64" t="s">
        <v>0</v>
      </c>
      <c r="B1" s="65"/>
      <c r="C1" s="65"/>
      <c r="D1" s="66"/>
      <c r="E1" t="s">
        <v>1</v>
      </c>
    </row>
    <row r="2" ht="15">
      <c r="A2" t="s">
        <v>2</v>
      </c>
    </row>
    <row r="3" ht="15">
      <c r="A3" t="s">
        <v>3</v>
      </c>
    </row>
    <row r="5" ht="15.75" thickBot="1">
      <c r="A5" t="s">
        <v>4</v>
      </c>
    </row>
    <row r="6" spans="1:3" ht="16.5" thickBot="1">
      <c r="A6" s="67" t="s">
        <v>5</v>
      </c>
      <c r="B6" t="s">
        <v>6</v>
      </c>
      <c r="C6" t="s">
        <v>7</v>
      </c>
    </row>
    <row r="7" spans="1:2" ht="15.75" thickBot="1">
      <c r="A7" s="69" t="s">
        <v>8</v>
      </c>
      <c r="B7" t="s">
        <v>9</v>
      </c>
    </row>
    <row r="8" spans="1:2" ht="15.75" thickBot="1">
      <c r="A8" s="68" t="s">
        <v>10</v>
      </c>
      <c r="B8" t="s">
        <v>11</v>
      </c>
    </row>
    <row r="10" ht="15">
      <c r="A10" t="s">
        <v>99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Z30"/>
  <sheetViews>
    <sheetView showGridLines="0" tabSelected="1" zoomScale="75" zoomScaleNormal="75" workbookViewId="0" topLeftCell="A1">
      <selection activeCell="M41" sqref="M41"/>
    </sheetView>
  </sheetViews>
  <sheetFormatPr defaultColWidth="8.796875" defaultRowHeight="15"/>
  <cols>
    <col min="1" max="1" width="10" style="0" customWidth="1"/>
    <col min="2" max="2" width="6" style="0" customWidth="1"/>
    <col min="3" max="3" width="9.09765625" style="0" customWidth="1"/>
    <col min="4" max="4" width="7.3984375" style="0" customWidth="1"/>
    <col min="5" max="5" width="11.69921875" style="0" customWidth="1"/>
    <col min="6" max="6" width="6.09765625" style="0" customWidth="1"/>
    <col min="8" max="8" width="7.19921875" style="0" customWidth="1"/>
    <col min="9" max="9" width="6.8984375" style="0" customWidth="1"/>
    <col min="10" max="10" width="6.3984375" style="0" customWidth="1"/>
    <col min="11" max="11" width="10" style="0" customWidth="1"/>
    <col min="12" max="12" width="11.69921875" style="0" customWidth="1"/>
    <col min="14" max="14" width="11" style="0" customWidth="1"/>
    <col min="16" max="16" width="11.8984375" style="0" customWidth="1"/>
    <col min="21" max="21" width="6" style="0" customWidth="1"/>
    <col min="22" max="22" width="7.8984375" style="0" customWidth="1"/>
  </cols>
  <sheetData>
    <row r="1" spans="1:21" ht="26.25">
      <c r="A1" s="28" t="s">
        <v>0</v>
      </c>
      <c r="B1" s="29"/>
      <c r="C1" s="29"/>
      <c r="D1" s="29"/>
      <c r="E1" s="63" t="s">
        <v>12</v>
      </c>
      <c r="O1" s="9" t="s">
        <v>13</v>
      </c>
      <c r="S1" s="23"/>
      <c r="T1" s="23"/>
      <c r="U1" s="23"/>
    </row>
    <row r="2" spans="1:24" ht="18">
      <c r="A2" t="s">
        <v>14</v>
      </c>
      <c r="D2" t="s">
        <v>15</v>
      </c>
      <c r="M2" s="10">
        <f>OMG0</f>
        <v>0.1</v>
      </c>
      <c r="N2" s="10">
        <f>DT(OMG0,TLI,IND)</f>
        <v>1.089176880042429</v>
      </c>
      <c r="O2" s="2" t="s">
        <v>16</v>
      </c>
      <c r="P2" s="39">
        <f>CP*538.7*((374-TS)/274)^0.38</f>
        <v>2198304.57829276</v>
      </c>
      <c r="Q2" s="2" t="s">
        <v>17</v>
      </c>
      <c r="R2" s="40">
        <f>DT(OMG0,TI,IND)</f>
        <v>1.089176880042429</v>
      </c>
      <c r="S2" s="2" t="s">
        <v>18</v>
      </c>
      <c r="T2" s="53">
        <v>5000</v>
      </c>
      <c r="U2" s="38"/>
      <c r="V2" s="38"/>
      <c r="W2" s="38"/>
      <c r="X2" s="38"/>
    </row>
    <row r="3" spans="1:24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">
        <f>IND</f>
        <v>2</v>
      </c>
      <c r="M3" s="10">
        <f>OMGI</f>
        <v>0.3</v>
      </c>
      <c r="N3" s="10">
        <f>DT(OMGI,TI,IND)</f>
        <v>6.728846961359283</v>
      </c>
      <c r="O3" s="2" t="s">
        <v>20</v>
      </c>
      <c r="P3" s="39">
        <f>CP*538.7*((374-TI)/274)^0.38</f>
        <v>2262529.110820597</v>
      </c>
      <c r="Q3" s="2" t="s">
        <v>21</v>
      </c>
      <c r="R3" s="40">
        <f>DT(OMGII,TII,IND)</f>
        <v>17.240506949563784</v>
      </c>
      <c r="S3" s="2" t="s">
        <v>22</v>
      </c>
      <c r="T3" s="53">
        <v>100</v>
      </c>
      <c r="U3" s="23"/>
      <c r="V3" s="23"/>
      <c r="W3" s="23"/>
      <c r="X3" s="23"/>
    </row>
    <row r="4" spans="1:24" ht="15">
      <c r="A4" s="35" t="s">
        <v>23</v>
      </c>
      <c r="B4" s="36" t="s">
        <v>24</v>
      </c>
      <c r="C4" s="24">
        <v>120</v>
      </c>
      <c r="D4" s="36" t="s">
        <v>25</v>
      </c>
      <c r="E4" s="13">
        <f>IF(RESET&gt;1,(WI*HI+MI*HLI-M0*HL0)/(HS-CI),M0*(1-OMG0/OMGII)/2)</f>
        <v>0.08000000000000002</v>
      </c>
      <c r="F4" s="36" t="s">
        <v>26</v>
      </c>
      <c r="G4" s="1">
        <f>CP*TS+CP*538.7*((374-TS)/274)^0.38</f>
        <v>2702304.57829276</v>
      </c>
      <c r="H4" s="36" t="s">
        <v>27</v>
      </c>
      <c r="I4" s="25">
        <v>4200</v>
      </c>
      <c r="J4" s="3"/>
      <c r="M4" s="10">
        <f>OMGII</f>
        <v>0.5</v>
      </c>
      <c r="N4" s="10">
        <f>DT(OMGII,TII,IND)</f>
        <v>17.240506949563784</v>
      </c>
      <c r="O4" s="2" t="s">
        <v>28</v>
      </c>
      <c r="P4" s="39">
        <f>CP*538.7*((374-TII)/274)^0.38</f>
        <v>2411338.365081102</v>
      </c>
      <c r="Q4" s="2" t="s">
        <v>29</v>
      </c>
      <c r="R4" s="14">
        <f>(TS-TII)/18</f>
        <v>3.888888888888889</v>
      </c>
      <c r="S4" s="2" t="s">
        <v>30</v>
      </c>
      <c r="T4" s="53">
        <v>20000</v>
      </c>
      <c r="U4" s="23"/>
      <c r="V4" s="23"/>
      <c r="W4" s="23"/>
      <c r="X4" s="23"/>
    </row>
    <row r="5" spans="1:24" ht="15.75" thickBot="1">
      <c r="A5" s="35" t="s">
        <v>31</v>
      </c>
      <c r="B5" s="36" t="s">
        <v>32</v>
      </c>
      <c r="C5" s="1">
        <f>CP*TS</f>
        <v>504000</v>
      </c>
      <c r="D5" s="36" t="s">
        <v>33</v>
      </c>
      <c r="E5" s="1">
        <f>CP*TI</f>
        <v>420014.57516360976</v>
      </c>
      <c r="F5" s="36"/>
      <c r="G5" s="35"/>
      <c r="H5" s="36"/>
      <c r="I5" s="35"/>
      <c r="J5" s="3"/>
      <c r="O5" s="2"/>
      <c r="P5" s="23"/>
      <c r="Q5" s="2"/>
      <c r="R5" s="23"/>
      <c r="S5" s="23"/>
      <c r="T5" s="23"/>
      <c r="U5" s="23"/>
      <c r="V5" s="23"/>
      <c r="W5" s="23"/>
      <c r="X5" s="23"/>
    </row>
    <row r="6" spans="1:26" ht="21" thickBot="1">
      <c r="A6" s="35" t="s">
        <v>34</v>
      </c>
      <c r="B6" s="36" t="s">
        <v>35</v>
      </c>
      <c r="C6" s="24">
        <v>60</v>
      </c>
      <c r="D6" s="36" t="s">
        <v>36</v>
      </c>
      <c r="E6" s="25">
        <v>0.2</v>
      </c>
      <c r="F6" s="36" t="s">
        <v>37</v>
      </c>
      <c r="G6" s="1">
        <f>CP*TL0</f>
        <v>252000</v>
      </c>
      <c r="H6" s="36" t="s">
        <v>38</v>
      </c>
      <c r="I6" s="25">
        <v>0.1</v>
      </c>
      <c r="J6" s="3"/>
      <c r="O6" s="48" t="s">
        <v>39</v>
      </c>
      <c r="P6" s="49" t="s">
        <v>40</v>
      </c>
      <c r="Q6" s="49" t="s">
        <v>41</v>
      </c>
      <c r="R6" s="50" t="s">
        <v>42</v>
      </c>
      <c r="S6" s="49" t="s">
        <v>43</v>
      </c>
      <c r="T6" s="49" t="s">
        <v>44</v>
      </c>
      <c r="U6" s="60" t="s">
        <v>45</v>
      </c>
      <c r="V6" s="49" t="s">
        <v>46</v>
      </c>
      <c r="W6" s="49" t="s">
        <v>47</v>
      </c>
      <c r="X6" s="49" t="s">
        <v>48</v>
      </c>
      <c r="Y6" s="49" t="s">
        <v>49</v>
      </c>
      <c r="Z6" s="51" t="s">
        <v>50</v>
      </c>
    </row>
    <row r="7" spans="1:26" ht="16.5" thickBot="1">
      <c r="A7" s="35" t="s">
        <v>51</v>
      </c>
      <c r="B7" s="36" t="s">
        <v>52</v>
      </c>
      <c r="C7" s="37">
        <v>100.00347027704994</v>
      </c>
      <c r="D7" s="36" t="s">
        <v>53</v>
      </c>
      <c r="E7" s="13">
        <f>IF(RESET&gt;1,(WII*HII+MII*HLII-MI*HLI)/(HI-CII),M0*(1-OMG0/OMGII)/2)</f>
        <v>0.08000000000000002</v>
      </c>
      <c r="F7" s="36" t="s">
        <v>54</v>
      </c>
      <c r="G7" s="1">
        <f>CP*TI+CP*538.7*((374-TI)/274)^0.38</f>
        <v>2682543.685984207</v>
      </c>
      <c r="H7" s="36" t="s">
        <v>55</v>
      </c>
      <c r="I7" s="1">
        <f>EXP(23.1964-3816.44/(227.02+TI))</f>
        <v>101332.98855343145</v>
      </c>
      <c r="J7" s="3"/>
      <c r="O7" s="44">
        <f>TII+DTI</f>
        <v>53.888888888888886</v>
      </c>
      <c r="P7" s="41">
        <f>(-M0*CP*(TL0-O7-DDT1)+M0*(1-OMG0)*RV1+(CP*DDT1-RV1)/(RV1+RV2-CP*(O7-TII+DDT1))*(M0*OMG0*CP*(O7-TII+DDT1)+M0*(1-OMG0)*RV1+MII*(1-OMGII)*RV2-MII*CP*DDT2))/RV0</f>
        <v>0.0833398748566635</v>
      </c>
      <c r="Q7" s="43">
        <f>(RV0*P7+M0*CP*(TL0-O7-DDT1)-M0*(1-OMG0)*RV1)/(CP*DDT1-RV1)</f>
        <v>0.09735819748753208</v>
      </c>
      <c r="R7" s="42">
        <f>M0*(1-OMG0)-Q7</f>
        <v>0.08264180251246794</v>
      </c>
      <c r="S7" s="42">
        <f>Q7-MII*(1-OMGII)</f>
        <v>0.07735819748753207</v>
      </c>
      <c r="T7" s="42">
        <f>M0*OMG0+Q7</f>
        <v>0.11735819748753208</v>
      </c>
      <c r="U7" s="54">
        <f>M0*OMG0/(M0*OMG0+Q7)</f>
        <v>0.17041843201558005</v>
      </c>
      <c r="V7" s="13">
        <f>P7/(R7+S7)</f>
        <v>0.5208742178541468</v>
      </c>
      <c r="W7" s="55">
        <f>MAX(0,RV0*P7/(KI*(TS-O7-DDT1)))</f>
        <v>2.817609636168123</v>
      </c>
      <c r="X7" s="55">
        <f>MAX(0,RV1*R7/(KII*(O7-TII-DDT2)))</f>
        <v>0</v>
      </c>
      <c r="Y7" s="11">
        <f>W7+X7</f>
        <v>2.817609636168123</v>
      </c>
      <c r="Z7" s="57">
        <f>SPRIZE*Y7+DPRIZE*HOURS*P7</f>
        <v>180767.79789416763</v>
      </c>
    </row>
    <row r="8" spans="1:26" ht="15">
      <c r="A8" s="35" t="s">
        <v>56</v>
      </c>
      <c r="B8" s="36" t="s">
        <v>57</v>
      </c>
      <c r="C8" s="7">
        <f>IF(RESET&gt;1,TI+DT(OMGI,TI,IND),TI)</f>
        <v>100.00347027704994</v>
      </c>
      <c r="D8" s="36" t="s">
        <v>58</v>
      </c>
      <c r="E8" s="11">
        <f>IF(RESET&gt;1,M0-WI,M0/2*(1+OMG0/OMGII))</f>
        <v>0.12</v>
      </c>
      <c r="F8" s="36" t="s">
        <v>59</v>
      </c>
      <c r="G8" s="14">
        <f>CP*TLI</f>
        <v>420014.57516360976</v>
      </c>
      <c r="H8" s="36" t="s">
        <v>60</v>
      </c>
      <c r="I8" s="11">
        <f>IF(RESET&gt;1,M0*OMG0/MI,(OMGII+OMG0)/2)</f>
        <v>0.3</v>
      </c>
      <c r="J8" s="3"/>
      <c r="O8" s="44">
        <f>O7+DTI</f>
        <v>57.77777777777777</v>
      </c>
      <c r="P8" s="41">
        <f aca="true" t="shared" si="0" ref="P8:P22">(-M0*CP*(TL0-O8-DDT1)+M0*(1-OMG0)*RV1+(CP*DDT1-RV1)/(RV1+RV2-CP*(O8-TII+DDT1))*(M0*OMG0*CP*(O8-TII+DDT1)+M0*(1-OMG0)*RV1+MII*(1-OMGII)*RV2-MII*CP*DDT2))/RV0</f>
        <v>0.0844012357539267</v>
      </c>
      <c r="Q8" s="43">
        <f aca="true" t="shared" si="1" ref="Q8:Q23">(RV0*P8+M0*CP*(TL0-O8-DDT1)-M0*(1-OMG0)*RV1)/(CP*DDT1-RV1)</f>
        <v>0.0977716124252162</v>
      </c>
      <c r="R8" s="42">
        <f aca="true" t="shared" si="2" ref="R8:R23">M0*(1-OMG0)-Q8</f>
        <v>0.08222838757478382</v>
      </c>
      <c r="S8" s="42">
        <f aca="true" t="shared" si="3" ref="S8:S23">Q8-MII*(1-OMGII)</f>
        <v>0.0777716124252162</v>
      </c>
      <c r="T8" s="42">
        <f aca="true" t="shared" si="4" ref="T8:T23">M0*OMG0+Q8</f>
        <v>0.11777161242521621</v>
      </c>
      <c r="U8" s="54">
        <f aca="true" t="shared" si="5" ref="U8:U23">M0*OMG0/(M0*OMG0+Q8)</f>
        <v>0.1698202103898323</v>
      </c>
      <c r="V8" s="13">
        <f aca="true" t="shared" si="6" ref="V8:V23">P8/(R8+S8)</f>
        <v>0.5275077234620418</v>
      </c>
      <c r="W8" s="55">
        <f aca="true" t="shared" si="7" ref="W8:W23">MAX(0,RV0*P8/(KI*(TS-O8-DDT1)))</f>
        <v>3.035013582799668</v>
      </c>
      <c r="X8" s="55">
        <f aca="true" t="shared" si="8" ref="X8:X23">MAX(0,RV1*R8/(KII*(O8-TII-DDT2)))</f>
        <v>0</v>
      </c>
      <c r="Y8" s="11">
        <f aca="true" t="shared" si="9" ref="Y8:Y23">W8+X8</f>
        <v>3.035013582799668</v>
      </c>
      <c r="Z8" s="57">
        <f aca="true" t="shared" si="10" ref="Z8:Z23">SPRIZE*Y8+DPRIZE*HOURS*P8</f>
        <v>183977.53942185175</v>
      </c>
    </row>
    <row r="9" spans="1:26" ht="15">
      <c r="A9" s="35" t="s">
        <v>61</v>
      </c>
      <c r="B9" s="36" t="s">
        <v>62</v>
      </c>
      <c r="C9" s="25">
        <v>50</v>
      </c>
      <c r="D9" s="36" t="s">
        <v>63</v>
      </c>
      <c r="E9" s="13">
        <f>MI-MII</f>
        <v>0.07999999999999999</v>
      </c>
      <c r="F9" s="36" t="s">
        <v>64</v>
      </c>
      <c r="G9" s="1">
        <f>CP*TII+CP*538.7*((374-TII)/274)^0.38</f>
        <v>2621338.365081102</v>
      </c>
      <c r="H9" s="36" t="s">
        <v>65</v>
      </c>
      <c r="I9" s="1">
        <f>EXP(23.1964-3816.44/(227.02+TII))</f>
        <v>12328.056740592696</v>
      </c>
      <c r="J9" s="3"/>
      <c r="O9" s="44">
        <f aca="true" t="shared" si="11" ref="O9:O23">O8+DTI</f>
        <v>61.66666666666666</v>
      </c>
      <c r="P9" s="41">
        <f t="shared" si="0"/>
        <v>0.08545959438766985</v>
      </c>
      <c r="Q9" s="43">
        <f t="shared" si="1"/>
        <v>0.09818795031349248</v>
      </c>
      <c r="R9" s="42">
        <f t="shared" si="2"/>
        <v>0.08181204968650754</v>
      </c>
      <c r="S9" s="42">
        <f t="shared" si="3"/>
        <v>0.07818795031349247</v>
      </c>
      <c r="T9" s="42">
        <f t="shared" si="4"/>
        <v>0.11818795031349248</v>
      </c>
      <c r="U9" s="54">
        <f t="shared" si="5"/>
        <v>0.1692219887640845</v>
      </c>
      <c r="V9" s="13">
        <f t="shared" si="6"/>
        <v>0.5341224649229365</v>
      </c>
      <c r="W9" s="55">
        <f t="shared" si="7"/>
        <v>3.2818409640597763</v>
      </c>
      <c r="X9" s="55">
        <f t="shared" si="8"/>
        <v>0</v>
      </c>
      <c r="Y9" s="11">
        <f t="shared" si="9"/>
        <v>3.2818409640597763</v>
      </c>
      <c r="Z9" s="57">
        <f t="shared" si="10"/>
        <v>187328.3935956386</v>
      </c>
    </row>
    <row r="10" spans="1:26" ht="15">
      <c r="A10" s="35" t="s">
        <v>66</v>
      </c>
      <c r="B10" s="36" t="s">
        <v>67</v>
      </c>
      <c r="C10" s="7">
        <f>IF(RESET&gt;1,TII+DT(OMGII,TII,IND),TII)</f>
        <v>50</v>
      </c>
      <c r="D10" s="36" t="s">
        <v>68</v>
      </c>
      <c r="E10" s="1">
        <f>M0*OMG0/OMGII</f>
        <v>0.04000000000000001</v>
      </c>
      <c r="F10" s="36" t="s">
        <v>69</v>
      </c>
      <c r="G10" s="1">
        <f>CP*TII</f>
        <v>210000</v>
      </c>
      <c r="H10" s="36" t="s">
        <v>70</v>
      </c>
      <c r="I10" s="25">
        <v>0.5</v>
      </c>
      <c r="J10" s="3"/>
      <c r="O10" s="44">
        <f t="shared" si="11"/>
        <v>65.55555555555554</v>
      </c>
      <c r="P10" s="41">
        <f t="shared" si="0"/>
        <v>0.08651491880476458</v>
      </c>
      <c r="Q10" s="43">
        <f t="shared" si="1"/>
        <v>0.09860724226136079</v>
      </c>
      <c r="R10" s="42">
        <f t="shared" si="2"/>
        <v>0.08139275773863923</v>
      </c>
      <c r="S10" s="42">
        <f t="shared" si="3"/>
        <v>0.07860724226136079</v>
      </c>
      <c r="T10" s="42">
        <f t="shared" si="4"/>
        <v>0.1186072422613608</v>
      </c>
      <c r="U10" s="54">
        <f t="shared" si="5"/>
        <v>0.16862376713833682</v>
      </c>
      <c r="V10" s="13">
        <f t="shared" si="6"/>
        <v>0.5407182425297785</v>
      </c>
      <c r="W10" s="55">
        <f t="shared" si="7"/>
        <v>3.5645241937841994</v>
      </c>
      <c r="X10" s="55">
        <f t="shared" si="8"/>
        <v>0</v>
      </c>
      <c r="Y10" s="11">
        <f t="shared" si="9"/>
        <v>3.5645241937841994</v>
      </c>
      <c r="Z10" s="57">
        <f t="shared" si="10"/>
        <v>190852.45857845017</v>
      </c>
    </row>
    <row r="11" spans="1:26" ht="15">
      <c r="A11" s="35" t="s">
        <v>71</v>
      </c>
      <c r="B11" s="36" t="s">
        <v>72</v>
      </c>
      <c r="C11" s="14">
        <f>IF(RESET&gt;1,DS*(HS-CI)/(TS-TLI),RV*M0*(1-OMG0/OMGII)/(2*(TS-TI)))</f>
        <v>0.00035032949340816965</v>
      </c>
      <c r="D11" s="36" t="s">
        <v>73</v>
      </c>
      <c r="E11" s="14">
        <f>WI*(HI-CII)/(TI-TLII)</f>
        <v>3619.7953434588385</v>
      </c>
      <c r="F11" s="36" t="s">
        <v>74</v>
      </c>
      <c r="G11" s="26">
        <v>1000</v>
      </c>
      <c r="H11" s="36" t="s">
        <v>75</v>
      </c>
      <c r="I11" s="27">
        <v>250</v>
      </c>
      <c r="J11" s="3"/>
      <c r="O11" s="44">
        <f t="shared" si="11"/>
        <v>69.44444444444443</v>
      </c>
      <c r="P11" s="41">
        <f t="shared" si="0"/>
        <v>0.08756717659703125</v>
      </c>
      <c r="Q11" s="43">
        <f t="shared" si="1"/>
        <v>0.09902951982085088</v>
      </c>
      <c r="R11" s="42">
        <f t="shared" si="2"/>
        <v>0.08097048017914914</v>
      </c>
      <c r="S11" s="42">
        <f t="shared" si="3"/>
        <v>0.07902951982085088</v>
      </c>
      <c r="T11" s="42">
        <f t="shared" si="4"/>
        <v>0.11902951982085089</v>
      </c>
      <c r="U11" s="54">
        <f t="shared" si="5"/>
        <v>0.16802554551258908</v>
      </c>
      <c r="V11" s="13">
        <f t="shared" si="6"/>
        <v>0.5472948537314453</v>
      </c>
      <c r="W11" s="55">
        <f t="shared" si="7"/>
        <v>3.8915184490089927</v>
      </c>
      <c r="X11" s="55">
        <f t="shared" si="8"/>
        <v>332.49231241445574</v>
      </c>
      <c r="Y11" s="11">
        <f t="shared" si="9"/>
        <v>336.3838308634647</v>
      </c>
      <c r="Z11" s="57">
        <f t="shared" si="10"/>
        <v>1857053.5075113862</v>
      </c>
    </row>
    <row r="12" spans="3:26" ht="15">
      <c r="C12" s="12" t="s">
        <v>76</v>
      </c>
      <c r="O12" s="44">
        <f t="shared" si="11"/>
        <v>73.33333333333331</v>
      </c>
      <c r="P12" s="41">
        <f t="shared" si="0"/>
        <v>0.08861633489310965</v>
      </c>
      <c r="Q12" s="43">
        <f t="shared" si="1"/>
        <v>0.09945481499493689</v>
      </c>
      <c r="R12" s="42">
        <f t="shared" si="2"/>
        <v>0.08054518500506314</v>
      </c>
      <c r="S12" s="42">
        <f t="shared" si="3"/>
        <v>0.07945481499493688</v>
      </c>
      <c r="T12" s="42">
        <f t="shared" si="4"/>
        <v>0.11945481499493689</v>
      </c>
      <c r="U12" s="54">
        <f t="shared" si="5"/>
        <v>0.16742732388684128</v>
      </c>
      <c r="V12" s="13">
        <f t="shared" si="6"/>
        <v>0.5538520930819352</v>
      </c>
      <c r="W12" s="55">
        <f t="shared" si="7"/>
        <v>4.274164628614925</v>
      </c>
      <c r="X12" s="55">
        <f t="shared" si="8"/>
        <v>119.63959865709465</v>
      </c>
      <c r="Y12" s="11">
        <f t="shared" si="9"/>
        <v>123.91376328570958</v>
      </c>
      <c r="Z12" s="57">
        <f t="shared" si="10"/>
        <v>796801.4862147671</v>
      </c>
    </row>
    <row r="13" spans="1:26" ht="20.25">
      <c r="A13" s="10">
        <v>1</v>
      </c>
      <c r="D13" s="30" t="s">
        <v>77</v>
      </c>
      <c r="E13" s="23"/>
      <c r="F13" s="23"/>
      <c r="G13" s="34">
        <f>KSI/KI+KSII/KII</f>
        <v>14.479181724164848</v>
      </c>
      <c r="H13" s="30" t="s">
        <v>78</v>
      </c>
      <c r="L13" s="5" t="s">
        <v>76</v>
      </c>
      <c r="O13" s="44">
        <f t="shared" si="11"/>
        <v>77.2222222222222</v>
      </c>
      <c r="P13" s="41">
        <f t="shared" si="0"/>
        <v>0.08966236035015458</v>
      </c>
      <c r="Q13" s="43">
        <f t="shared" si="1"/>
        <v>0.09988316024562237</v>
      </c>
      <c r="R13" s="42">
        <f t="shared" si="2"/>
        <v>0.08011683975437765</v>
      </c>
      <c r="S13" s="42">
        <f t="shared" si="3"/>
        <v>0.07988316024562236</v>
      </c>
      <c r="T13" s="42">
        <f t="shared" si="4"/>
        <v>0.11988316024562237</v>
      </c>
      <c r="U13" s="54">
        <f t="shared" si="5"/>
        <v>0.1668291022610936</v>
      </c>
      <c r="V13" s="13">
        <f t="shared" si="6"/>
        <v>0.560389752188466</v>
      </c>
      <c r="W13" s="55">
        <f t="shared" si="7"/>
        <v>4.728035314540558</v>
      </c>
      <c r="X13" s="55">
        <f t="shared" si="8"/>
        <v>72.63949221543037</v>
      </c>
      <c r="Y13" s="11">
        <f t="shared" si="9"/>
        <v>77.36752752997093</v>
      </c>
      <c r="Z13" s="57">
        <f t="shared" si="10"/>
        <v>566162.3583501638</v>
      </c>
    </row>
    <row r="14" spans="4:26" ht="15.75">
      <c r="D14" s="6" t="s">
        <v>79</v>
      </c>
      <c r="E14" s="31">
        <f>DS/(WI+WII)</f>
        <v>0.5000000000000001</v>
      </c>
      <c r="L14" s="10">
        <v>2</v>
      </c>
      <c r="M14" s="10" t="s">
        <v>80</v>
      </c>
      <c r="N14" s="10" t="s">
        <v>81</v>
      </c>
      <c r="O14" s="44">
        <f t="shared" si="11"/>
        <v>81.11111111111109</v>
      </c>
      <c r="P14" s="41">
        <f t="shared" si="0"/>
        <v>0.0907052191453518</v>
      </c>
      <c r="Q14" s="43">
        <f t="shared" si="1"/>
        <v>0.10031458850220025</v>
      </c>
      <c r="R14" s="42">
        <f t="shared" si="2"/>
        <v>0.07968541149779977</v>
      </c>
      <c r="S14" s="42">
        <f t="shared" si="3"/>
        <v>0.08031458850220025</v>
      </c>
      <c r="T14" s="42">
        <f t="shared" si="4"/>
        <v>0.12031458850220025</v>
      </c>
      <c r="U14" s="54">
        <f t="shared" si="5"/>
        <v>0.16623088063534586</v>
      </c>
      <c r="V14" s="13">
        <f t="shared" si="6"/>
        <v>0.5669076196584487</v>
      </c>
      <c r="W14" s="55">
        <f t="shared" si="7"/>
        <v>5.2751115795699395</v>
      </c>
      <c r="X14" s="55">
        <f t="shared" si="8"/>
        <v>51.99212986592169</v>
      </c>
      <c r="Y14" s="11">
        <f t="shared" si="9"/>
        <v>57.26724144549163</v>
      </c>
      <c r="Z14" s="57">
        <f t="shared" si="10"/>
        <v>467746.6455181617</v>
      </c>
    </row>
    <row r="15" spans="1:26" ht="15.75">
      <c r="A15" s="4"/>
      <c r="B15" s="4"/>
      <c r="C15" s="4"/>
      <c r="D15" s="6" t="s">
        <v>82</v>
      </c>
      <c r="E15" s="32">
        <f>KSII/KSI*KI/KII</f>
        <v>41330181.00467387</v>
      </c>
      <c r="F15" s="4"/>
      <c r="G15" s="4"/>
      <c r="H15" s="4"/>
      <c r="I15" s="4"/>
      <c r="J15" s="5"/>
      <c r="L15" s="10" t="s">
        <v>83</v>
      </c>
      <c r="M15" s="15">
        <v>0</v>
      </c>
      <c r="N15" s="10">
        <f aca="true" t="shared" si="12" ref="N15:N25">DT(M15,100,IND)</f>
        <v>0</v>
      </c>
      <c r="O15" s="44">
        <f t="shared" si="11"/>
        <v>84.99999999999997</v>
      </c>
      <c r="P15" s="41">
        <f t="shared" si="0"/>
        <v>0.09174487696725078</v>
      </c>
      <c r="Q15" s="43">
        <f t="shared" si="1"/>
        <v>0.10074913316969115</v>
      </c>
      <c r="R15" s="42">
        <f t="shared" si="2"/>
        <v>0.07925086683030887</v>
      </c>
      <c r="S15" s="42">
        <f t="shared" si="3"/>
        <v>0.08074913316969115</v>
      </c>
      <c r="T15" s="42">
        <f t="shared" si="4"/>
        <v>0.12074913316969116</v>
      </c>
      <c r="U15" s="54">
        <f t="shared" si="5"/>
        <v>0.16563265900959806</v>
      </c>
      <c r="V15" s="13">
        <f t="shared" si="6"/>
        <v>0.5734054810453173</v>
      </c>
      <c r="W15" s="55">
        <f t="shared" si="7"/>
        <v>5.9474576113523</v>
      </c>
      <c r="X15" s="55">
        <f t="shared" si="8"/>
        <v>40.385700819750895</v>
      </c>
      <c r="Y15" s="11">
        <f t="shared" si="9"/>
        <v>46.33315843110319</v>
      </c>
      <c r="Z15" s="57">
        <f t="shared" si="10"/>
        <v>415155.54609001754</v>
      </c>
    </row>
    <row r="16" spans="1:26" ht="15.75">
      <c r="A16" s="4"/>
      <c r="B16" s="4"/>
      <c r="C16" s="4"/>
      <c r="D16" s="6" t="s">
        <v>84</v>
      </c>
      <c r="E16" s="33">
        <f>WII/WI</f>
        <v>0.9999999999999997</v>
      </c>
      <c r="F16" s="4"/>
      <c r="G16" s="16">
        <f>WII</f>
        <v>0.07999999999999999</v>
      </c>
      <c r="H16" s="4"/>
      <c r="I16" s="4"/>
      <c r="J16" s="5"/>
      <c r="L16" s="10" t="s">
        <v>85</v>
      </c>
      <c r="M16" s="15">
        <v>0.05</v>
      </c>
      <c r="N16" s="10">
        <f t="shared" si="12"/>
        <v>0.4479857368475405</v>
      </c>
      <c r="O16" s="44">
        <f t="shared" si="11"/>
        <v>88.88888888888886</v>
      </c>
      <c r="P16" s="41">
        <f t="shared" si="0"/>
        <v>0.09278129900690836</v>
      </c>
      <c r="Q16" s="43">
        <f t="shared" si="1"/>
        <v>0.10118682813746563</v>
      </c>
      <c r="R16" s="42">
        <f t="shared" si="2"/>
        <v>0.07881317186253439</v>
      </c>
      <c r="S16" s="42">
        <f t="shared" si="3"/>
        <v>0.08118682813746562</v>
      </c>
      <c r="T16" s="42">
        <f t="shared" si="4"/>
        <v>0.12118682813746563</v>
      </c>
      <c r="U16" s="54">
        <f t="shared" si="5"/>
        <v>0.16503443738385035</v>
      </c>
      <c r="V16" s="13">
        <f t="shared" si="6"/>
        <v>0.5798831187931771</v>
      </c>
      <c r="W16" s="55">
        <f t="shared" si="7"/>
        <v>6.793751289207844</v>
      </c>
      <c r="X16" s="55">
        <f t="shared" si="8"/>
        <v>32.947884263104456</v>
      </c>
      <c r="Y16" s="11">
        <f t="shared" si="9"/>
        <v>39.7416355523123</v>
      </c>
      <c r="Z16" s="57">
        <f t="shared" si="10"/>
        <v>384270.7757753782</v>
      </c>
    </row>
    <row r="17" spans="1:26" ht="15.75">
      <c r="A17" s="4"/>
      <c r="B17" s="4"/>
      <c r="C17" s="4"/>
      <c r="D17" s="4"/>
      <c r="E17" s="4"/>
      <c r="F17" s="4"/>
      <c r="G17" s="17">
        <f>TII</f>
        <v>50</v>
      </c>
      <c r="H17" s="4"/>
      <c r="J17" s="5"/>
      <c r="L17" s="10" t="s">
        <v>86</v>
      </c>
      <c r="M17" s="15">
        <v>0.1</v>
      </c>
      <c r="N17" s="10">
        <f t="shared" si="12"/>
        <v>1.089151382702014</v>
      </c>
      <c r="O17" s="44">
        <f t="shared" si="11"/>
        <v>92.77777777777774</v>
      </c>
      <c r="P17" s="41">
        <f t="shared" si="0"/>
        <v>0.09381444994883932</v>
      </c>
      <c r="Q17" s="43">
        <f t="shared" si="1"/>
        <v>0.10162770778805463</v>
      </c>
      <c r="R17" s="42">
        <f t="shared" si="2"/>
        <v>0.07837229221194539</v>
      </c>
      <c r="S17" s="42">
        <f t="shared" si="3"/>
        <v>0.08162770778805463</v>
      </c>
      <c r="T17" s="42">
        <f t="shared" si="4"/>
        <v>0.12162770778805464</v>
      </c>
      <c r="U17" s="54">
        <f t="shared" si="5"/>
        <v>0.16443621575810258</v>
      </c>
      <c r="V17" s="13">
        <f t="shared" si="6"/>
        <v>0.5863403121802456</v>
      </c>
      <c r="W17" s="55">
        <f t="shared" si="7"/>
        <v>7.891645697322623</v>
      </c>
      <c r="X17" s="55">
        <f t="shared" si="8"/>
        <v>27.77424319208918</v>
      </c>
      <c r="Y17" s="11">
        <f t="shared" si="9"/>
        <v>35.665888889411804</v>
      </c>
      <c r="Z17" s="57">
        <f t="shared" si="10"/>
        <v>365958.34434473765</v>
      </c>
    </row>
    <row r="18" spans="1:26" ht="15.75">
      <c r="A18" s="4"/>
      <c r="B18" s="4"/>
      <c r="C18" s="4"/>
      <c r="D18" s="16">
        <f>WI</f>
        <v>0.08000000000000002</v>
      </c>
      <c r="E18" s="4"/>
      <c r="F18" s="4"/>
      <c r="G18" s="4"/>
      <c r="H18" s="4"/>
      <c r="I18" s="16">
        <f>MII</f>
        <v>0.04000000000000001</v>
      </c>
      <c r="J18" s="5"/>
      <c r="L18" s="10" t="s">
        <v>87</v>
      </c>
      <c r="M18" s="15">
        <v>0.15</v>
      </c>
      <c r="N18" s="10">
        <f t="shared" si="12"/>
        <v>1.9676019396197992</v>
      </c>
      <c r="O18" s="44">
        <f t="shared" si="11"/>
        <v>96.66666666666663</v>
      </c>
      <c r="P18" s="41">
        <f t="shared" si="0"/>
        <v>0.09484429396176887</v>
      </c>
      <c r="Q18" s="43">
        <f t="shared" si="1"/>
        <v>0.10207180700615272</v>
      </c>
      <c r="R18" s="42">
        <f t="shared" si="2"/>
        <v>0.0779281929938473</v>
      </c>
      <c r="S18" s="42">
        <f t="shared" si="3"/>
        <v>0.08207180700615271</v>
      </c>
      <c r="T18" s="42">
        <f t="shared" si="4"/>
        <v>0.12207180700615272</v>
      </c>
      <c r="U18" s="54">
        <f t="shared" si="5"/>
        <v>0.16383799413235486</v>
      </c>
      <c r="V18" s="13">
        <f t="shared" si="6"/>
        <v>0.5927768372610553</v>
      </c>
      <c r="W18" s="55">
        <f t="shared" si="7"/>
        <v>9.373097428032816</v>
      </c>
      <c r="X18" s="55">
        <f t="shared" si="8"/>
        <v>23.967083288785236</v>
      </c>
      <c r="Y18" s="11">
        <f t="shared" si="9"/>
        <v>33.340180716818054</v>
      </c>
      <c r="Z18" s="57">
        <f t="shared" si="10"/>
        <v>356389.491507628</v>
      </c>
    </row>
    <row r="19" spans="1:26" ht="15.75">
      <c r="A19" s="4"/>
      <c r="B19" s="4"/>
      <c r="C19" s="4"/>
      <c r="D19" s="17">
        <f>TI</f>
        <v>100.00347027704994</v>
      </c>
      <c r="E19" s="4"/>
      <c r="F19" s="4"/>
      <c r="G19" s="4"/>
      <c r="H19" s="4"/>
      <c r="I19" s="18">
        <f>TLII</f>
        <v>50</v>
      </c>
      <c r="J19" s="5"/>
      <c r="L19" s="10" t="s">
        <v>88</v>
      </c>
      <c r="M19" s="15">
        <v>0.2</v>
      </c>
      <c r="N19" s="10">
        <f t="shared" si="12"/>
        <v>3.141974535540759</v>
      </c>
      <c r="O19" s="44">
        <f t="shared" si="11"/>
        <v>100.55555555555551</v>
      </c>
      <c r="P19" s="41">
        <f t="shared" si="0"/>
        <v>0.09587079468918139</v>
      </c>
      <c r="Q19" s="43">
        <f t="shared" si="1"/>
        <v>0.10251916118781962</v>
      </c>
      <c r="R19" s="42">
        <f t="shared" si="2"/>
        <v>0.0774808388121804</v>
      </c>
      <c r="S19" s="42">
        <f t="shared" si="3"/>
        <v>0.08251916118781961</v>
      </c>
      <c r="T19" s="42">
        <f t="shared" si="4"/>
        <v>0.12251916118781962</v>
      </c>
      <c r="U19" s="54">
        <f t="shared" si="5"/>
        <v>0.16323977250660712</v>
      </c>
      <c r="V19" s="13">
        <f t="shared" si="6"/>
        <v>0.5991924668073836</v>
      </c>
      <c r="W19" s="55">
        <f t="shared" si="7"/>
        <v>11.481892385950529</v>
      </c>
      <c r="X19" s="55">
        <f t="shared" si="8"/>
        <v>21.047864034852797</v>
      </c>
      <c r="Y19" s="11">
        <f t="shared" si="9"/>
        <v>32.529756420803324</v>
      </c>
      <c r="Z19" s="57">
        <f t="shared" si="10"/>
        <v>354390.3714823794</v>
      </c>
    </row>
    <row r="20" spans="1:26" ht="15.75">
      <c r="A20" s="4"/>
      <c r="B20" s="4"/>
      <c r="C20" s="4"/>
      <c r="D20" s="4"/>
      <c r="E20" s="4"/>
      <c r="F20" s="4"/>
      <c r="G20" s="4"/>
      <c r="H20" s="4"/>
      <c r="I20" s="19">
        <f>OMGII</f>
        <v>0.5</v>
      </c>
      <c r="J20" s="5"/>
      <c r="L20" s="10" t="s">
        <v>89</v>
      </c>
      <c r="M20" s="15">
        <v>0.25</v>
      </c>
      <c r="N20" s="10">
        <f t="shared" si="12"/>
        <v>4.691960922440611</v>
      </c>
      <c r="O20" s="44">
        <f t="shared" si="11"/>
        <v>104.4444444444444</v>
      </c>
      <c r="P20" s="41">
        <f t="shared" si="0"/>
        <v>0.09689391523966098</v>
      </c>
      <c r="Q20" s="43">
        <f t="shared" si="1"/>
        <v>0.10296980624988449</v>
      </c>
      <c r="R20" s="42">
        <f t="shared" si="2"/>
        <v>0.07703019375011554</v>
      </c>
      <c r="S20" s="42">
        <f t="shared" si="3"/>
        <v>0.08296980624988448</v>
      </c>
      <c r="T20" s="42">
        <f t="shared" si="4"/>
        <v>0.12296980624988449</v>
      </c>
      <c r="U20" s="54">
        <f t="shared" si="5"/>
        <v>0.16264155088085935</v>
      </c>
      <c r="V20" s="13">
        <f t="shared" si="6"/>
        <v>0.605586970247881</v>
      </c>
      <c r="W20" s="55">
        <f t="shared" si="7"/>
        <v>14.723956994199273</v>
      </c>
      <c r="X20" s="55">
        <f t="shared" si="8"/>
        <v>18.738130155795375</v>
      </c>
      <c r="Y20" s="11">
        <f t="shared" si="9"/>
        <v>33.462087149994645</v>
      </c>
      <c r="Z20" s="57">
        <f t="shared" si="10"/>
        <v>361098.2662292952</v>
      </c>
    </row>
    <row r="21" spans="1:26" ht="15">
      <c r="A21" s="4"/>
      <c r="B21" s="4"/>
      <c r="C21" s="4"/>
      <c r="D21" s="4"/>
      <c r="E21" s="4"/>
      <c r="F21" s="4"/>
      <c r="G21" s="4"/>
      <c r="H21" s="4"/>
      <c r="I21" s="4"/>
      <c r="J21" s="5"/>
      <c r="L21" s="10" t="s">
        <v>90</v>
      </c>
      <c r="M21" s="15">
        <v>0.3</v>
      </c>
      <c r="N21" s="10">
        <f t="shared" si="12"/>
        <v>6.728689440845658</v>
      </c>
      <c r="O21" s="44">
        <f t="shared" si="11"/>
        <v>108.33333333333329</v>
      </c>
      <c r="P21" s="41">
        <f t="shared" si="0"/>
        <v>0.09791361817701799</v>
      </c>
      <c r="Q21" s="43">
        <f t="shared" si="1"/>
        <v>0.10342377863955858</v>
      </c>
      <c r="R21" s="42">
        <f t="shared" si="2"/>
        <v>0.07657622136044144</v>
      </c>
      <c r="S21" s="42">
        <f t="shared" si="3"/>
        <v>0.08342377863955858</v>
      </c>
      <c r="T21" s="42">
        <f t="shared" si="4"/>
        <v>0.12342377863955858</v>
      </c>
      <c r="U21" s="54">
        <f t="shared" si="5"/>
        <v>0.1620433292551116</v>
      </c>
      <c r="V21" s="13">
        <f t="shared" si="6"/>
        <v>0.6119601136063624</v>
      </c>
      <c r="W21" s="55">
        <f t="shared" si="7"/>
        <v>20.34924726544606</v>
      </c>
      <c r="X21" s="55">
        <f t="shared" si="8"/>
        <v>16.864834597317643</v>
      </c>
      <c r="Y21" s="11">
        <f t="shared" si="9"/>
        <v>37.214081862763706</v>
      </c>
      <c r="Z21" s="57">
        <f t="shared" si="10"/>
        <v>381897.6456678545</v>
      </c>
    </row>
    <row r="22" spans="1:26" ht="15">
      <c r="A22" s="4"/>
      <c r="B22" s="4"/>
      <c r="C22" s="4"/>
      <c r="D22" s="4"/>
      <c r="E22" s="4"/>
      <c r="F22" s="5"/>
      <c r="G22" s="5"/>
      <c r="H22" s="4"/>
      <c r="I22" s="4"/>
      <c r="J22" s="5"/>
      <c r="L22" s="10" t="s">
        <v>91</v>
      </c>
      <c r="M22" s="15">
        <v>0.35</v>
      </c>
      <c r="N22" s="10">
        <f t="shared" si="12"/>
        <v>9.41192227833966</v>
      </c>
      <c r="O22" s="44">
        <f t="shared" si="11"/>
        <v>112.22222222222217</v>
      </c>
      <c r="P22" s="41">
        <f t="shared" si="0"/>
        <v>0.09892986551019568</v>
      </c>
      <c r="Q22" s="43">
        <f t="shared" si="1"/>
        <v>0.10388111534426189</v>
      </c>
      <c r="R22" s="42">
        <f t="shared" si="2"/>
        <v>0.07611888465573813</v>
      </c>
      <c r="S22" s="42">
        <f t="shared" si="3"/>
        <v>0.08388111534426189</v>
      </c>
      <c r="T22" s="42">
        <f t="shared" si="4"/>
        <v>0.1238811153442619</v>
      </c>
      <c r="U22" s="54">
        <f t="shared" si="5"/>
        <v>0.1614451076293639</v>
      </c>
      <c r="V22" s="13">
        <f t="shared" si="6"/>
        <v>0.6183116594387229</v>
      </c>
      <c r="W22" s="55">
        <f t="shared" si="7"/>
        <v>32.514718639376895</v>
      </c>
      <c r="X22" s="55">
        <f t="shared" si="8"/>
        <v>15.314773247118517</v>
      </c>
      <c r="Y22" s="11">
        <f t="shared" si="9"/>
        <v>47.82949188649541</v>
      </c>
      <c r="Z22" s="57">
        <f t="shared" si="10"/>
        <v>437007.1904528684</v>
      </c>
    </row>
    <row r="23" spans="1:26" ht="15.75" thickBot="1">
      <c r="A23" s="4"/>
      <c r="B23" s="4"/>
      <c r="C23" s="4"/>
      <c r="D23" s="4"/>
      <c r="E23" s="4"/>
      <c r="F23" s="4"/>
      <c r="G23" s="4"/>
      <c r="H23" s="4"/>
      <c r="I23" s="5"/>
      <c r="J23" s="5"/>
      <c r="L23" s="10" t="s">
        <v>92</v>
      </c>
      <c r="M23" s="15">
        <v>0.4</v>
      </c>
      <c r="N23" s="10">
        <f t="shared" si="12"/>
        <v>12.979928839992256</v>
      </c>
      <c r="O23" s="45">
        <f t="shared" si="11"/>
        <v>116.11111111111106</v>
      </c>
      <c r="P23" s="52">
        <f>(-M0*CP*(TL0-O23-DDT1)+M0*(1-OMG0)*RV1+(CP*DDT1-RV1)/(RV1+RV2-CP*(O23-TII+DDT1))*(M0*OMG0*CP*(O23-TII+DDT1)+M0*(1-OMG0)*RV1+MII*(1-OMGII)*RV2-MII*CP*DDT2))/RV0</f>
        <v>0.09994261868295208</v>
      </c>
      <c r="Q23" s="47">
        <f t="shared" si="1"/>
        <v>0.10434185390166877</v>
      </c>
      <c r="R23" s="46">
        <f t="shared" si="2"/>
        <v>0.07565814609833126</v>
      </c>
      <c r="S23" s="46">
        <f t="shared" si="3"/>
        <v>0.08434185390166876</v>
      </c>
      <c r="T23" s="46">
        <f t="shared" si="4"/>
        <v>0.12434185390166877</v>
      </c>
      <c r="U23" s="56">
        <f t="shared" si="5"/>
        <v>0.1608468860036161</v>
      </c>
      <c r="V23" s="61">
        <f t="shared" si="6"/>
        <v>0.6246413667684504</v>
      </c>
      <c r="W23" s="58">
        <f t="shared" si="7"/>
        <v>78.47389857352496</v>
      </c>
      <c r="X23" s="58">
        <f t="shared" si="8"/>
        <v>14.010774857813633</v>
      </c>
      <c r="Y23" s="62">
        <f t="shared" si="9"/>
        <v>92.48467343133859</v>
      </c>
      <c r="Z23" s="59">
        <f t="shared" si="10"/>
        <v>662308.604522597</v>
      </c>
    </row>
    <row r="24" spans="1:24" ht="15.75">
      <c r="A24" s="4"/>
      <c r="B24" s="4"/>
      <c r="C24" s="4"/>
      <c r="D24" s="4"/>
      <c r="E24" s="4"/>
      <c r="F24" s="8" t="s">
        <v>93</v>
      </c>
      <c r="G24" s="20">
        <f>KSII</f>
        <v>3619.7953434588385</v>
      </c>
      <c r="H24" s="4"/>
      <c r="I24" s="16">
        <f>MI</f>
        <v>0.12</v>
      </c>
      <c r="J24" s="4"/>
      <c r="L24" s="10" t="s">
        <v>94</v>
      </c>
      <c r="M24" s="15">
        <v>0.45</v>
      </c>
      <c r="N24" s="10">
        <f t="shared" si="12"/>
        <v>17.804462791416306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>
      <c r="A25" s="4"/>
      <c r="B25" s="16">
        <f>DS</f>
        <v>0.08000000000000002</v>
      </c>
      <c r="C25" s="4"/>
      <c r="D25" s="4"/>
      <c r="E25" s="4"/>
      <c r="F25" s="4"/>
      <c r="G25" s="4"/>
      <c r="H25" s="4"/>
      <c r="I25" s="18">
        <f>TLI</f>
        <v>100.00347027704994</v>
      </c>
      <c r="J25" s="4"/>
      <c r="L25" s="10" t="s">
        <v>95</v>
      </c>
      <c r="M25" s="15">
        <v>0.5</v>
      </c>
      <c r="N25" s="10">
        <f t="shared" si="12"/>
        <v>24.499462596669513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75">
      <c r="A26" s="4"/>
      <c r="B26" s="17">
        <f>TS</f>
        <v>120</v>
      </c>
      <c r="C26" s="4"/>
      <c r="D26" s="4"/>
      <c r="E26" s="4"/>
      <c r="F26" s="4"/>
      <c r="G26" s="4"/>
      <c r="H26" s="4"/>
      <c r="I26" s="19">
        <f>OMGI</f>
        <v>0.3</v>
      </c>
      <c r="J26" s="4"/>
      <c r="L26" s="10" t="s">
        <v>96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12" ht="15.75">
      <c r="A27" s="4"/>
      <c r="B27" s="4"/>
      <c r="C27" s="4"/>
      <c r="D27" s="4"/>
      <c r="E27" s="16">
        <f>M0</f>
        <v>0.2</v>
      </c>
      <c r="F27" s="4"/>
      <c r="G27" s="4"/>
      <c r="H27" s="4"/>
      <c r="I27" s="4"/>
      <c r="J27" s="4"/>
      <c r="L27" s="10" t="s">
        <v>97</v>
      </c>
    </row>
    <row r="28" spans="1:12" ht="15.75">
      <c r="A28" s="4"/>
      <c r="B28" s="8" t="s">
        <v>98</v>
      </c>
      <c r="C28" s="21">
        <f>KSI</f>
        <v>0.00035032949340816965</v>
      </c>
      <c r="D28" s="5"/>
      <c r="E28" s="17">
        <f>TL0</f>
        <v>60</v>
      </c>
      <c r="F28" s="4"/>
      <c r="G28" s="4"/>
      <c r="H28" s="4"/>
      <c r="I28" s="22">
        <f>DS/(WI+WII)</f>
        <v>0.5000000000000001</v>
      </c>
      <c r="J28" s="4"/>
      <c r="L28" s="10"/>
    </row>
    <row r="29" spans="1:10" ht="15.75">
      <c r="A29" s="4"/>
      <c r="B29" s="4"/>
      <c r="C29" s="5"/>
      <c r="D29" s="5"/>
      <c r="E29" s="19">
        <f>OMG0</f>
        <v>0.1</v>
      </c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printOptions/>
  <pageMargins left="0.2" right="0.2" top="0.37" bottom="0.49" header="0.24" footer="0.4921259845"/>
  <pageSetup horizontalDpi="300" verticalDpi="300" orientation="landscape" paperSize="9" r:id="rId4"/>
  <headerFooter alignWithMargins="0">
    <oddHeader>&amp;C&amp;A</oddHeader>
    <oddFooter>&amp;CStrana &amp;P</oddFooter>
  </headerFooter>
  <drawing r:id="rId3"/>
  <legacyDrawing r:id="rId2"/>
  <oleObjects>
    <oleObject progId="Equation.2" shapeId="12928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workbookViewId="0" topLeftCell="A1">
      <selection activeCell="I14" sqref="I14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EVACO2F</dc:title>
  <dc:subject>Heat transfer</dc:subject>
  <dc:creator>Doc. Ing. Rudolf Žitný, CSc.</dc:creator>
  <cp:keywords/>
  <dc:description>Two stage evaporator - optimisation and
cost analysis 
Database of materials - boiling temperature depression
</dc:description>
  <cp:lastModifiedBy>Žitný Rudolf</cp:lastModifiedBy>
  <cp:lastPrinted>2000-05-02T09:37:41Z</cp:lastPrinted>
  <dcterms:created xsi:type="dcterms:W3CDTF">1999-04-02T12:56:27Z</dcterms:created>
  <dcterms:modified xsi:type="dcterms:W3CDTF">2011-03-31T07:36:20Z</dcterms:modified>
  <cp:category/>
  <cp:version/>
  <cp:contentType/>
  <cp:contentStatus/>
</cp:coreProperties>
</file>