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4240" windowHeight="15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<sst xmlns="http://schemas.openxmlformats.org/spreadsheetml/2006/main" count="146" uniqueCount="135">
  <si>
    <t>P ř í k l a d :</t>
  </si>
  <si>
    <t>Navrhněte čtyřkomorové hydrostatické radiální ložisko úplné pro průměr čepu d = 180 mm,</t>
  </si>
  <si>
    <r>
      <t xml:space="preserve"> frekvenci otáčení n = 80 min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, zatížení F = 2 . 10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N. Poměr délky a průměru pánve ložiska l / d =1 , </t>
    </r>
  </si>
  <si>
    <r>
      <t xml:space="preserve">poměr délky komory k délce ložiska je 0,5 , mazivo má viskozitu </t>
    </r>
    <r>
      <rPr>
        <sz val="10"/>
        <rFont val="Arial"/>
        <family val="0"/>
      </rPr>
      <t>η</t>
    </r>
    <r>
      <rPr>
        <sz val="15"/>
        <rFont val="Times New Roman"/>
        <family val="1"/>
      </rPr>
      <t xml:space="preserve"> </t>
    </r>
    <r>
      <rPr>
        <sz val="10"/>
        <rFont val="Times New Roman"/>
        <family val="1"/>
      </rPr>
      <t>= 0,0215 Pa . s při teplotě 50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C.</t>
    </r>
  </si>
  <si>
    <t>kapilární reduktor tlaku na přívodu maziva do komory.</t>
  </si>
  <si>
    <t xml:space="preserve">Rovnoměrná ložisková vůle je  </t>
  </si>
  <si>
    <t>Redukční poměr v reduktoru tlaku je 0,5 , relativní ložisková vůle je ψ =  0,0015 , bude použit</t>
  </si>
  <si>
    <r>
      <t xml:space="preserve">    c = </t>
    </r>
    <r>
      <rPr>
        <sz val="10"/>
        <rFont val="Arial"/>
        <family val="2"/>
      </rPr>
      <t>ψ</t>
    </r>
    <r>
      <rPr>
        <sz val="15"/>
        <rFont val="Times New Roman"/>
        <family val="1"/>
      </rPr>
      <t xml:space="preserve"> . </t>
    </r>
    <r>
      <rPr>
        <sz val="10"/>
        <rFont val="Times New Roman"/>
        <family val="1"/>
      </rPr>
      <t>r</t>
    </r>
    <r>
      <rPr>
        <sz val="15"/>
        <rFont val="Times New Roman"/>
        <family val="1"/>
      </rPr>
      <t xml:space="preserve"> </t>
    </r>
    <r>
      <rPr>
        <sz val="10"/>
        <rFont val="Times New Roman"/>
        <family val="1"/>
      </rPr>
      <t>= 0,0015 . 90 = 0,135 mm</t>
    </r>
  </si>
  <si>
    <t>Vektor zatížení bude procházet středem tlakové komory</t>
  </si>
  <si>
    <t>Rozdíl tlaků v komorách 1 a 3 v poměru ke tlaku zdroje bude</t>
  </si>
  <si>
    <t>Pro čep vystředěný v pánvi je průtokové množství všemi komorami stejné.</t>
  </si>
  <si>
    <r>
      <t>Tlak v komoře i je      p</t>
    </r>
    <r>
      <rPr>
        <vertAlign val="subscript"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=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/ (1 + R</t>
    </r>
    <r>
      <rPr>
        <vertAlign val="subscript"/>
        <sz val="10"/>
        <rFont val="Times New Roman"/>
        <family val="1"/>
      </rPr>
      <t>ri</t>
    </r>
    <r>
      <rPr>
        <sz val="10"/>
        <rFont val="Times New Roman"/>
        <family val="1"/>
      </rPr>
      <t xml:space="preserve"> / R</t>
    </r>
    <r>
      <rPr>
        <vertAlign val="subscript"/>
        <sz val="10"/>
        <rFont val="Times New Roman"/>
        <family val="1"/>
      </rPr>
      <t>hi</t>
    </r>
    <r>
      <rPr>
        <sz val="10"/>
        <rFont val="Times New Roman"/>
        <family val="1"/>
      </rPr>
      <t xml:space="preserve"> )</t>
    </r>
  </si>
  <si>
    <r>
      <t xml:space="preserve">Pro zvolenou excetricitu </t>
    </r>
    <r>
      <rPr>
        <sz val="10"/>
        <rFont val="Arial"/>
        <family val="0"/>
      </rPr>
      <t xml:space="preserve">ε </t>
    </r>
    <r>
      <rPr>
        <sz val="10"/>
        <rFont val="Times New Roman"/>
        <family val="1"/>
      </rPr>
      <t xml:space="preserve">stanovíme poměry hydraulických odporů a postupně </t>
    </r>
  </si>
  <si>
    <t>nalezneme takovou excentricitu, při které rozdíl tlaků v protilehlých komorách 1 a 3</t>
  </si>
  <si>
    <t>odpovídá zadanému zatížení. Pro tuto excetricitu se potom určí průtoky.</t>
  </si>
  <si>
    <t>Tlaková ztráta v reduktoru a tlak. ztráta pro průtok spárou přináležící jedné komoře</t>
  </si>
  <si>
    <r>
      <t>(p</t>
    </r>
    <r>
      <rPr>
        <vertAlign val="subscript"/>
        <sz val="10"/>
        <rFont val="Times New Roman"/>
        <family val="1"/>
      </rPr>
      <t>v1</t>
    </r>
    <r>
      <rPr>
        <sz val="10"/>
        <rFont val="Times New Roman"/>
        <family val="1"/>
      </rPr>
      <t xml:space="preserve"> - p</t>
    </r>
    <r>
      <rPr>
        <vertAlign val="subscript"/>
        <sz val="10"/>
        <rFont val="Times New Roman"/>
        <family val="1"/>
      </rPr>
      <t>v3</t>
    </r>
    <r>
      <rPr>
        <sz val="10"/>
        <rFont val="Times New Roman"/>
        <family val="1"/>
      </rPr>
      <t>) / p</t>
    </r>
    <r>
      <rPr>
        <vertAlign val="subscript"/>
        <sz val="10"/>
        <rFont val="Times New Roman"/>
        <family val="1"/>
      </rPr>
      <t>C</t>
    </r>
  </si>
  <si>
    <t xml:space="preserve">Tlaky a průtočná množství jednotlivými komorami </t>
  </si>
  <si>
    <t>Kanálek bude navinut ve šroubovici se středním průměrem 40 mm v 35 závitech.</t>
  </si>
  <si>
    <r>
      <t>Průtok komorou (vystředěný čep) je       Q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</si>
  <si>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 xml:space="preserve"> 3,14 . (1,35 . 10</t>
    </r>
    <r>
      <rPr>
        <vertAlign val="superscript"/>
        <sz val="10"/>
        <rFont val="Times New Roman"/>
        <family val="1"/>
      </rPr>
      <t>-4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2 .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/ (12 . 0,0215) =</t>
    </r>
  </si>
  <si>
    <r>
      <t xml:space="preserve"> . 10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s</t>
    </r>
    <r>
      <rPr>
        <vertAlign val="superscript"/>
        <sz val="10"/>
        <rFont val="Times New Roman"/>
        <family val="1"/>
      </rPr>
      <t>-1</t>
    </r>
  </si>
  <si>
    <r>
      <t>Ztráty (výkon zdroje tlaku)     P</t>
    </r>
    <r>
      <rPr>
        <vertAlign val="subscript"/>
        <sz val="10"/>
        <rFont val="Times New Roman"/>
        <family val="1"/>
      </rPr>
      <t>ztr</t>
    </r>
    <r>
      <rPr>
        <sz val="10"/>
        <rFont val="Times New Roman"/>
        <family val="1"/>
      </rPr>
      <t xml:space="preserve"> =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. Q = 4000000 . 0,000024 = 960W</t>
    </r>
  </si>
  <si>
    <t xml:space="preserve"> m / s</t>
  </si>
  <si>
    <t xml:space="preserve"> W</t>
  </si>
  <si>
    <r>
      <t>Únosnost ložiska bude            F = 2 . r . (p</t>
    </r>
    <r>
      <rPr>
        <vertAlign val="subscript"/>
        <sz val="10"/>
        <rFont val="Times New Roman"/>
        <family val="1"/>
      </rPr>
      <t>v1</t>
    </r>
    <r>
      <rPr>
        <sz val="10"/>
        <rFont val="Times New Roman"/>
        <family val="1"/>
      </rPr>
      <t xml:space="preserve"> - p</t>
    </r>
    <r>
      <rPr>
        <vertAlign val="subscript"/>
        <sz val="10"/>
        <rFont val="Times New Roman"/>
        <family val="1"/>
      </rPr>
      <t>v3</t>
    </r>
    <r>
      <rPr>
        <sz val="10"/>
        <rFont val="Times New Roman"/>
        <family val="1"/>
      </rPr>
      <t>) . 0,75 . l . sin 45</t>
    </r>
    <r>
      <rPr>
        <vertAlign val="superscript"/>
        <sz val="10"/>
        <rFont val="Times New Roman"/>
        <family val="1"/>
      </rPr>
      <t>o</t>
    </r>
  </si>
  <si>
    <r>
      <t>bude dosažena stejným hydraulickým odporem spáry i komory (zvoleno), tj. p</t>
    </r>
    <r>
      <rPr>
        <vertAlign val="subscript"/>
        <sz val="10"/>
        <rFont val="Times New Roman"/>
        <family val="1"/>
      </rPr>
      <t>v0</t>
    </r>
    <r>
      <rPr>
        <sz val="10"/>
        <rFont val="Times New Roman"/>
        <family val="1"/>
      </rPr>
      <t xml:space="preserve"> = 0,5 .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>.</t>
    </r>
  </si>
  <si>
    <r>
      <t xml:space="preserve">          B</t>
    </r>
    <r>
      <rPr>
        <vertAlign val="subscript"/>
        <sz val="10"/>
        <rFont val="Times New Roman"/>
        <family val="1"/>
      </rPr>
      <t>i</t>
    </r>
  </si>
  <si>
    <t xml:space="preserve">                i</t>
  </si>
  <si>
    <r>
      <t xml:space="preserve">      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0</t>
    </r>
  </si>
  <si>
    <r>
      <t xml:space="preserve">    p</t>
    </r>
    <r>
      <rPr>
        <vertAlign val="subscript"/>
        <sz val="10"/>
        <rFont val="Times New Roman"/>
        <family val="1"/>
      </rPr>
      <t xml:space="preserve">vi </t>
    </r>
    <r>
      <rPr>
        <sz val="10"/>
        <rFont val="Times New Roman"/>
        <family val="1"/>
      </rPr>
      <t>[Mpa]</t>
    </r>
  </si>
  <si>
    <r>
      <t xml:space="preserve"> 10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. Q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</si>
  <si>
    <t xml:space="preserve">          ε</t>
  </si>
  <si>
    <r>
      <t>B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π</t>
    </r>
    <r>
      <rPr>
        <sz val="10"/>
        <rFont val="Arial"/>
        <family val="0"/>
      </rPr>
      <t xml:space="preserve"> </t>
    </r>
    <r>
      <rPr>
        <sz val="10"/>
        <rFont val="Times New Roman"/>
        <family val="1"/>
      </rPr>
      <t>/ 12 = 0,262</t>
    </r>
  </si>
  <si>
    <r>
      <t>Součinitel pro průtok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je součinem K</t>
    </r>
    <r>
      <rPr>
        <vertAlign val="sub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. 2 / 3 , kde K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je funkcí excentricity ε</t>
    </r>
  </si>
  <si>
    <r>
      <rPr>
        <sz val="10"/>
        <rFont val="Times New Roman"/>
        <family val="1"/>
      </rPr>
      <t>π</t>
    </r>
    <r>
      <rPr>
        <sz val="15"/>
        <rFont val="Arial"/>
        <family val="2"/>
      </rPr>
      <t xml:space="preserve"> </t>
    </r>
    <r>
      <rPr>
        <sz val="10"/>
        <rFont val="Times New Roman"/>
        <family val="1"/>
      </rPr>
      <t>. c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p</t>
    </r>
    <r>
      <rPr>
        <vertAlign val="subscript"/>
        <sz val="10"/>
        <rFont val="Times New Roman"/>
        <family val="1"/>
      </rPr>
      <t>v0</t>
    </r>
    <r>
      <rPr>
        <sz val="10"/>
        <rFont val="Times New Roman"/>
        <family val="1"/>
      </rPr>
      <t xml:space="preserve"> / (12 . η</t>
    </r>
    <r>
      <rPr>
        <sz val="10"/>
        <rFont val="Calibri"/>
        <family val="2"/>
      </rPr>
      <t>)   =</t>
    </r>
  </si>
  <si>
    <r>
      <t>Průtočné množství pro jednu komoru je   Q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 c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π . p</t>
    </r>
    <r>
      <rPr>
        <vertAlign val="subscript"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/ ( 12 . η</t>
    </r>
    <r>
      <rPr>
        <sz val="10"/>
        <rFont val="Arial"/>
        <family val="0"/>
      </rPr>
      <t xml:space="preserve"> .</t>
    </r>
    <r>
      <rPr>
        <sz val="10"/>
        <rFont val="Times New Roman"/>
        <family val="1"/>
      </rPr>
      <t>0,5 ) = c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η</t>
    </r>
    <r>
      <rPr>
        <sz val="15"/>
        <rFont val="Times New Roman"/>
        <family val="1"/>
      </rPr>
      <t xml:space="preserve"> . </t>
    </r>
    <r>
      <rPr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vi</t>
    </r>
  </si>
  <si>
    <r>
      <t>Hydraulický odpor reduktoru (stejný jako odpor spáry při vystředěném čepu) je R</t>
    </r>
    <r>
      <rPr>
        <vertAlign val="subscript"/>
        <sz val="10"/>
        <rFont val="Times New Roman"/>
        <family val="1"/>
      </rPr>
      <t>r0</t>
    </r>
    <r>
      <rPr>
        <sz val="10"/>
        <rFont val="Times New Roman"/>
        <family val="1"/>
      </rPr>
      <t xml:space="preserve"> = η / (c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B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) = 0,0215 / (1,35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10</t>
    </r>
    <r>
      <rPr>
        <vertAlign val="superscript"/>
        <sz val="10"/>
        <rFont val="Times New Roman"/>
        <family val="1"/>
      </rPr>
      <t>-12</t>
    </r>
    <r>
      <rPr>
        <sz val="10"/>
        <rFont val="Times New Roman"/>
        <family val="1"/>
      </rPr>
      <t xml:space="preserve"> . 0,262) = 3,338 . 10</t>
    </r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N . m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. s</t>
    </r>
  </si>
  <si>
    <r>
      <t xml:space="preserve">Ohřátí maziva  </t>
    </r>
    <r>
      <rPr>
        <sz val="10"/>
        <rFont val="Calibri"/>
        <family val="2"/>
      </rPr>
      <t>Δ</t>
    </r>
    <r>
      <rPr>
        <sz val="10"/>
        <rFont val="Times New Roman"/>
        <family val="1"/>
      </rPr>
      <t>T = P</t>
    </r>
    <r>
      <rPr>
        <vertAlign val="subscript"/>
        <sz val="10"/>
        <rFont val="Times New Roman"/>
        <family val="1"/>
      </rPr>
      <t>ztr</t>
    </r>
    <r>
      <rPr>
        <sz val="10"/>
        <rFont val="Times New Roman"/>
        <family val="1"/>
      </rPr>
      <t xml:space="preserve"> / (Q . ρ</t>
    </r>
    <r>
      <rPr>
        <sz val="10"/>
        <rFont val="Calibri"/>
        <family val="2"/>
      </rPr>
      <t xml:space="preserve"> . </t>
    </r>
    <r>
      <rPr>
        <sz val="10"/>
        <rFont val="Times New Roman"/>
        <family val="1"/>
      </rPr>
      <t>c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>)</t>
    </r>
    <r>
      <rPr>
        <sz val="10"/>
        <rFont val="Times New Roman"/>
        <family val="1"/>
      </rPr>
      <t xml:space="preserve">  = 1000 / (0,00024 . 1000 . 2000) =  2 K</t>
    </r>
  </si>
  <si>
    <r>
      <t>l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= R</t>
    </r>
    <r>
      <rPr>
        <vertAlign val="subscript"/>
        <sz val="10"/>
        <rFont val="Times New Roman"/>
        <family val="1"/>
      </rPr>
      <t>r0</t>
    </r>
    <r>
      <rPr>
        <sz val="10"/>
        <rFont val="Times New Roman"/>
        <family val="1"/>
      </rPr>
      <t xml:space="preserve"> . a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/ (28,5 . η) = 3,338 . 10</t>
    </r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. 0,003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/ (28,5 . 0,0215) = 4,4 m</t>
    </r>
  </si>
  <si>
    <t>Rekapitulace zadání:</t>
  </si>
  <si>
    <t xml:space="preserve"> 1/min</t>
  </si>
  <si>
    <t xml:space="preserve">            n =</t>
  </si>
  <si>
    <t xml:space="preserve"> mm</t>
  </si>
  <si>
    <t xml:space="preserve"> N</t>
  </si>
  <si>
    <t xml:space="preserve">        F =</t>
  </si>
  <si>
    <t xml:space="preserve"> Pa.s</t>
  </si>
  <si>
    <t xml:space="preserve">      eta =</t>
  </si>
  <si>
    <t xml:space="preserve">            T =</t>
  </si>
  <si>
    <t xml:space="preserve">          psi =</t>
  </si>
  <si>
    <t>Kotrolní příklad má pevně dosazené hodnoty (vlevo), výsledky se zadanými hodnotami (rekapitulace) jsou vpravo.</t>
  </si>
  <si>
    <t xml:space="preserve">            c = </t>
  </si>
  <si>
    <r>
      <t>Středový úhel tlakové komory je      gama = 120 / 2 = 60</t>
    </r>
    <r>
      <rPr>
        <vertAlign val="superscript"/>
        <sz val="10"/>
        <rFont val="Times New Roman"/>
        <family val="1"/>
      </rPr>
      <t>o</t>
    </r>
  </si>
  <si>
    <t xml:space="preserve">       delta =</t>
  </si>
  <si>
    <t>o</t>
  </si>
  <si>
    <t xml:space="preserve">      gama =</t>
  </si>
  <si>
    <t xml:space="preserve">         i =</t>
  </si>
  <si>
    <t>gama je středový úhel pro tlakovou komoru</t>
  </si>
  <si>
    <t>delta je středový úhel pro spáru přiléhající k tlakové komoře (až k sousední komoře)</t>
  </si>
  <si>
    <r>
      <t xml:space="preserve">    p</t>
    </r>
    <r>
      <rPr>
        <vertAlign val="subscript"/>
        <sz val="10"/>
        <rFont val="Times New Roman"/>
        <family val="1"/>
      </rPr>
      <t>v0</t>
    </r>
    <r>
      <rPr>
        <sz val="10"/>
        <rFont val="Times New Roman"/>
        <family val="1"/>
      </rPr>
      <t xml:space="preserve"> /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</si>
  <si>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poměr úhlu gama a delta je stejný jako l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>/l</t>
    </r>
  </si>
  <si>
    <t xml:space="preserve"> MPa</t>
  </si>
  <si>
    <t xml:space="preserve">             u =</t>
  </si>
  <si>
    <t xml:space="preserve"> m/s</t>
  </si>
  <si>
    <t xml:space="preserve"> 3,14 . 0,18 . 80 /60 =</t>
  </si>
  <si>
    <r>
      <t xml:space="preserve">           (p</t>
    </r>
    <r>
      <rPr>
        <vertAlign val="subscript"/>
        <sz val="10"/>
        <rFont val="Times New Roman"/>
        <family val="1"/>
      </rPr>
      <t>v1</t>
    </r>
    <r>
      <rPr>
        <sz val="10"/>
        <rFont val="Times New Roman"/>
        <family val="1"/>
      </rPr>
      <t xml:space="preserve"> - p</t>
    </r>
    <r>
      <rPr>
        <vertAlign val="subscript"/>
        <sz val="10"/>
        <rFont val="Times New Roman"/>
        <family val="1"/>
      </rPr>
      <t>v3</t>
    </r>
    <r>
      <rPr>
        <sz val="10"/>
        <rFont val="Times New Roman"/>
        <family val="1"/>
      </rPr>
      <t>) /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</t>
    </r>
  </si>
  <si>
    <t xml:space="preserve">             r =</t>
  </si>
  <si>
    <r>
      <t xml:space="preserve"> o</t>
    </r>
    <r>
      <rPr>
        <sz val="10"/>
        <rFont val="Times New Roman"/>
        <family val="1"/>
      </rPr>
      <t>C</t>
    </r>
  </si>
  <si>
    <r>
      <t xml:space="preserve">    delta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</si>
  <si>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 xml:space="preserve">          Q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</si>
  <si>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 xml:space="preserve">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s</t>
    </r>
    <r>
      <rPr>
        <vertAlign val="superscript"/>
        <sz val="10"/>
        <rFont val="Times New Roman"/>
        <family val="1"/>
      </rPr>
      <t>-1</t>
    </r>
  </si>
  <si>
    <r>
      <t xml:space="preserve">          </t>
    </r>
    <r>
      <rPr>
        <sz val="10"/>
        <rFont val="Times New Roman"/>
        <family val="1"/>
      </rPr>
      <t>B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</t>
    </r>
  </si>
  <si>
    <r>
      <t>R</t>
    </r>
    <r>
      <rPr>
        <vertAlign val="subscript"/>
        <sz val="10"/>
        <rFont val="Times New Roman"/>
        <family val="1"/>
      </rPr>
      <t>r0</t>
    </r>
    <r>
      <rPr>
        <sz val="10"/>
        <rFont val="Times New Roman"/>
        <family val="1"/>
      </rPr>
      <t xml:space="preserve"> =</t>
    </r>
  </si>
  <si>
    <r>
      <t xml:space="preserve"> N . m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. s</t>
    </r>
  </si>
  <si>
    <t xml:space="preserve">         ε</t>
  </si>
  <si>
    <t>zadat</t>
  </si>
  <si>
    <t>vypočte</t>
  </si>
  <si>
    <r>
      <t>Pro každou komoru je středový úhel delta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pro osový průtok 90</t>
    </r>
    <r>
      <rPr>
        <vertAlign val="superscript"/>
        <sz val="10"/>
        <rFont val="Times New Roman"/>
        <family val="1"/>
      </rPr>
      <t xml:space="preserve">o </t>
    </r>
  </si>
  <si>
    <r>
      <t xml:space="preserve">         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</si>
  <si>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delta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360 / i = 360 / 4 = 90</t>
    </r>
    <r>
      <rPr>
        <vertAlign val="superscript"/>
        <sz val="10"/>
        <rFont val="Times New Roman"/>
        <family val="1"/>
      </rPr>
      <t>o</t>
    </r>
  </si>
  <si>
    <r>
      <t>Středový úhel kluzné plochy pro jednu komoru je      delta = 2 . 360 / (1 + 0,5) / 4 = 120</t>
    </r>
    <r>
      <rPr>
        <vertAlign val="superscript"/>
        <sz val="10"/>
        <rFont val="Times New Roman"/>
        <family val="1"/>
      </rPr>
      <t>o</t>
    </r>
  </si>
  <si>
    <t>počet komor je i</t>
  </si>
  <si>
    <r>
      <t>R</t>
    </r>
    <r>
      <rPr>
        <vertAlign val="subscript"/>
        <sz val="10"/>
        <rFont val="Times New Roman"/>
        <family val="1"/>
      </rPr>
      <t>hi</t>
    </r>
    <r>
      <rPr>
        <sz val="10"/>
        <rFont val="Times New Roman"/>
        <family val="1"/>
      </rPr>
      <t xml:space="preserve"> = p</t>
    </r>
    <r>
      <rPr>
        <vertAlign val="subscript"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/ Q</t>
    </r>
    <r>
      <rPr>
        <vertAlign val="subscript"/>
        <sz val="10"/>
        <rFont val="Times New Roman"/>
        <family val="1"/>
      </rPr>
      <t>i</t>
    </r>
  </si>
  <si>
    <r>
      <t>R</t>
    </r>
    <r>
      <rPr>
        <vertAlign val="subscript"/>
        <sz val="10"/>
        <rFont val="Times New Roman"/>
        <family val="1"/>
      </rPr>
      <t>ri</t>
    </r>
    <r>
      <rPr>
        <sz val="10"/>
        <rFont val="Times New Roman"/>
        <family val="1"/>
      </rPr>
      <t xml:space="preserve"> je konstantní hydr. odpor reduktoru tlaku, R</t>
    </r>
    <r>
      <rPr>
        <vertAlign val="subscript"/>
        <sz val="10"/>
        <rFont val="Times New Roman"/>
        <family val="1"/>
      </rPr>
      <t>hi</t>
    </r>
    <r>
      <rPr>
        <sz val="10"/>
        <rFont val="Times New Roman"/>
        <family val="1"/>
      </rPr>
      <t xml:space="preserve"> hydr. odpor komory (funkce excentricity ε</t>
    </r>
    <r>
      <rPr>
        <sz val="12.5"/>
        <rFont val="Times New Roman"/>
        <family val="1"/>
      </rPr>
      <t>)</t>
    </r>
  </si>
  <si>
    <r>
      <t>K</t>
    </r>
    <r>
      <rPr>
        <vertAlign val="subscript"/>
        <sz val="10"/>
        <rFont val="Times New Roman"/>
        <family val="1"/>
      </rPr>
      <t>ai</t>
    </r>
  </si>
  <si>
    <t xml:space="preserve">pro komoru 1 platí zn. -, pro komoru 2 a 4 jsou sudé sčítance nulové, pro komoru 3 platí zn. + </t>
  </si>
  <si>
    <r>
      <t>Postupně přibližování poměru (p</t>
    </r>
    <r>
      <rPr>
        <vertAlign val="subscript"/>
        <sz val="10"/>
        <rFont val="Times New Roman"/>
        <family val="1"/>
      </rPr>
      <t>v1</t>
    </r>
    <r>
      <rPr>
        <sz val="10"/>
        <rFont val="Times New Roman"/>
        <family val="1"/>
      </rPr>
      <t xml:space="preserve"> - p</t>
    </r>
    <r>
      <rPr>
        <vertAlign val="subscript"/>
        <sz val="10"/>
        <rFont val="Times New Roman"/>
        <family val="1"/>
      </rPr>
      <t>v3</t>
    </r>
    <r>
      <rPr>
        <sz val="10"/>
        <rFont val="Times New Roman"/>
        <family val="1"/>
      </rPr>
      <t>) /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  k požadované hodnotě pro zatížení F volbou excentricity ε</t>
    </r>
  </si>
  <si>
    <t xml:space="preserve">          D =</t>
  </si>
  <si>
    <t xml:space="preserve">     B / D =</t>
  </si>
  <si>
    <r>
      <t xml:space="preserve">    B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/ B =</t>
    </r>
  </si>
  <si>
    <r>
      <t>Zvolen tlak zdroje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4 MPa, obvod. rychlost čepu je    u = </t>
    </r>
    <r>
      <rPr>
        <sz val="10"/>
        <rFont val="Calibri"/>
        <family val="2"/>
      </rPr>
      <t>π</t>
    </r>
    <r>
      <rPr>
        <sz val="15"/>
        <rFont val="Times New Roman"/>
        <family val="1"/>
      </rPr>
      <t xml:space="preserve"> . </t>
    </r>
    <r>
      <rPr>
        <sz val="10"/>
        <rFont val="Times New Roman"/>
        <family val="1"/>
      </rPr>
      <t>D . n / 60  =</t>
    </r>
  </si>
  <si>
    <r>
      <t>(B + B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>) / 2 = B . (1 + 0,5) / 2 = 0,75 . B = B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</t>
    </r>
  </si>
  <si>
    <r>
      <t xml:space="preserve"> (p</t>
    </r>
    <r>
      <rPr>
        <vertAlign val="subscript"/>
        <sz val="10"/>
        <rFont val="Times New Roman"/>
        <family val="1"/>
      </rPr>
      <t>v1</t>
    </r>
    <r>
      <rPr>
        <sz val="10"/>
        <rFont val="Times New Roman"/>
        <family val="1"/>
      </rPr>
      <t xml:space="preserve"> - p</t>
    </r>
    <r>
      <rPr>
        <vertAlign val="subscript"/>
        <sz val="10"/>
        <rFont val="Times New Roman"/>
        <family val="1"/>
      </rPr>
      <t>v3</t>
    </r>
    <r>
      <rPr>
        <sz val="10"/>
        <rFont val="Times New Roman"/>
        <family val="1"/>
      </rPr>
      <t>) /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2 . F / (D . B . p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. 1,5 . sin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) = 2 . 20000 / (180 . 180 . 4 . 1,5 . sin 45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) = 0,291 </t>
    </r>
  </si>
  <si>
    <r>
      <t>Q</t>
    </r>
    <r>
      <rPr>
        <vertAlign val="subscript"/>
        <sz val="10"/>
        <rFont val="Times New Roman"/>
        <family val="1"/>
      </rPr>
      <t>ai</t>
    </r>
    <r>
      <rPr>
        <sz val="10"/>
        <rFont val="Times New Roman"/>
        <family val="1"/>
      </rPr>
      <t xml:space="preserve"> = K</t>
    </r>
    <r>
      <rPr>
        <vertAlign val="subscript"/>
        <sz val="10"/>
        <rFont val="Times New Roman"/>
        <family val="1"/>
      </rPr>
      <t>ai</t>
    </r>
    <r>
      <rPr>
        <sz val="10"/>
        <rFont val="Times New Roman"/>
        <family val="1"/>
      </rPr>
      <t>.c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.p</t>
    </r>
    <r>
      <rPr>
        <vertAlign val="subscript"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/ (3.η)</t>
    </r>
  </si>
  <si>
    <r>
      <t>Kapilární reduktor tlaku je tvořen kanálkem čtvercového průřezu o straně a = 3 mm a délce l</t>
    </r>
    <r>
      <rPr>
        <vertAlign val="subscript"/>
        <sz val="10"/>
        <rFont val="Times New Roman"/>
        <family val="1"/>
      </rPr>
      <t>k</t>
    </r>
  </si>
  <si>
    <r>
      <t>Celkové průtočné množství Q = 4 . Q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= 23,9 . 10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s</t>
    </r>
    <r>
      <rPr>
        <vertAlign val="superscript"/>
        <sz val="10"/>
        <rFont val="Times New Roman"/>
        <family val="1"/>
      </rPr>
      <t xml:space="preserve">-1 </t>
    </r>
    <r>
      <rPr>
        <sz val="10"/>
        <rFont val="Times New Roman"/>
        <family val="1"/>
      </rPr>
      <t xml:space="preserve">= </t>
    </r>
    <r>
      <rPr>
        <sz val="10"/>
        <rFont val="Arial"/>
        <family val="0"/>
      </rPr>
      <t>ƩQ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  <r>
      <rPr>
        <sz val="10"/>
        <rFont val="Times New Roman"/>
        <family val="1"/>
      </rPr>
      <t xml:space="preserve"> 24,3 . 10</t>
    </r>
    <r>
      <rPr>
        <vertAlign val="superscript"/>
        <sz val="10"/>
        <rFont val="Times New Roman"/>
        <family val="1"/>
      </rPr>
      <t>-5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.s</t>
    </r>
    <r>
      <rPr>
        <vertAlign val="superscript"/>
        <sz val="10"/>
        <rFont val="Times New Roman"/>
        <family val="1"/>
      </rPr>
      <t>-1</t>
    </r>
  </si>
  <si>
    <r>
      <t>Průtok spárou ve směru osy ložiska při excentricitě ε je dán integrací, ze které je součinitel       K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2.[π/4 </t>
    </r>
    <r>
      <rPr>
        <sz val="10"/>
        <rFont val="Arial"/>
        <family val="2"/>
      </rPr>
      <t>±</t>
    </r>
    <r>
      <rPr>
        <sz val="10"/>
        <rFont val="Times New Roman"/>
        <family val="1"/>
      </rPr>
      <t xml:space="preserve"> 3.ε.sin π/4 + 3.ε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.(π/8 + 1/4) </t>
    </r>
    <r>
      <rPr>
        <sz val="10"/>
        <rFont val="Arial"/>
        <family val="2"/>
      </rPr>
      <t>±</t>
    </r>
    <r>
      <rPr>
        <sz val="10"/>
        <rFont val="Times New Roman"/>
        <family val="1"/>
      </rPr>
      <t xml:space="preserve"> ε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.(0,707 - 0,118)] </t>
    </r>
  </si>
  <si>
    <r>
      <t>B</t>
    </r>
    <r>
      <rPr>
        <vertAlign val="subscript"/>
        <sz val="10"/>
        <rFont val="Times New Roman"/>
        <family val="1"/>
      </rPr>
      <t>i</t>
    </r>
  </si>
  <si>
    <t>1</t>
  </si>
  <si>
    <t>2</t>
  </si>
  <si>
    <t>3</t>
  </si>
  <si>
    <t>4</t>
  </si>
  <si>
    <r>
      <t>B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/ B</t>
    </r>
    <r>
      <rPr>
        <vertAlign val="subscript"/>
        <sz val="10"/>
        <rFont val="Times New Roman"/>
        <family val="1"/>
      </rPr>
      <t>0</t>
    </r>
  </si>
  <si>
    <r>
      <t>p</t>
    </r>
    <r>
      <rPr>
        <vertAlign val="subscript"/>
        <sz val="10"/>
        <rFont val="Times New Roman"/>
        <family val="1"/>
      </rPr>
      <t xml:space="preserve">vi  </t>
    </r>
    <r>
      <rPr>
        <sz val="10"/>
        <rFont val="Times New Roman"/>
        <family val="1"/>
      </rPr>
      <t>[MPa]</t>
    </r>
  </si>
  <si>
    <r>
      <t>Q</t>
    </r>
    <r>
      <rPr>
        <vertAlign val="subscript"/>
        <sz val="10"/>
        <rFont val="Times New Roman"/>
        <family val="1"/>
      </rPr>
      <t xml:space="preserve">i   </t>
    </r>
    <r>
      <rPr>
        <sz val="10"/>
        <rFont val="Times New Roman"/>
        <family val="1"/>
      </rP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</si>
  <si>
    <t>postupně upravuji</t>
  </si>
  <si>
    <t>stav ložiska</t>
  </si>
  <si>
    <t>je třeba vyrovnat pomocí změn eps</t>
  </si>
  <si>
    <t>Q =</t>
  </si>
  <si>
    <r>
      <t xml:space="preserve">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.s</t>
    </r>
    <r>
      <rPr>
        <vertAlign val="superscript"/>
        <sz val="10"/>
        <rFont val="Times New Roman"/>
        <family val="1"/>
      </rPr>
      <t>-1</t>
    </r>
  </si>
  <si>
    <t>a =</t>
  </si>
  <si>
    <r>
      <t>l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=</t>
    </r>
  </si>
  <si>
    <t xml:space="preserve"> m</t>
  </si>
  <si>
    <r>
      <t>i</t>
    </r>
    <r>
      <rPr>
        <vertAlign val="subscript"/>
        <sz val="10"/>
        <rFont val="Times New Roman"/>
        <family val="1"/>
      </rPr>
      <t>záv</t>
    </r>
    <r>
      <rPr>
        <sz val="10"/>
        <rFont val="Times New Roman"/>
        <family val="1"/>
      </rPr>
      <t xml:space="preserve"> =</t>
    </r>
  </si>
  <si>
    <r>
      <t>d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</t>
    </r>
  </si>
  <si>
    <r>
      <t>P</t>
    </r>
    <r>
      <rPr>
        <vertAlign val="subscript"/>
        <sz val="10"/>
        <rFont val="Times New Roman"/>
        <family val="1"/>
      </rPr>
      <t>ztr</t>
    </r>
    <r>
      <rPr>
        <sz val="10"/>
        <rFont val="Times New Roman"/>
        <family val="1"/>
      </rPr>
      <t xml:space="preserve"> =</t>
    </r>
  </si>
  <si>
    <r>
      <t>Třecí ztráty P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π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. D . B . η</t>
    </r>
    <r>
      <rPr>
        <sz val="10"/>
        <rFont val="Calibri"/>
        <family val="2"/>
      </rPr>
      <t xml:space="preserve"> . </t>
    </r>
    <r>
      <rPr>
        <sz val="10"/>
        <rFont val="Times New Roman"/>
        <family val="1"/>
      </rPr>
      <t>u</t>
    </r>
    <r>
      <rPr>
        <sz val="10"/>
        <rFont val="Calibri"/>
        <family val="2"/>
      </rPr>
      <t xml:space="preserve"> / </t>
    </r>
    <r>
      <rPr>
        <sz val="10"/>
        <rFont val="Times New Roman"/>
        <family val="1"/>
      </rPr>
      <t>c</t>
    </r>
    <r>
      <rPr>
        <sz val="10"/>
        <rFont val="Calibri"/>
        <family val="2"/>
      </rPr>
      <t xml:space="preserve"> = 35 W </t>
    </r>
  </si>
  <si>
    <r>
      <t>P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</si>
  <si>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t xml:space="preserve">  = 3,14 . 0,18 . 0,18 . 0,0215 . 0,75 / 0,000135 = 12 W</t>
  </si>
  <si>
    <t>ΔT =</t>
  </si>
  <si>
    <t xml:space="preserve"> K</t>
  </si>
  <si>
    <t xml:space="preserve"> c =</t>
  </si>
  <si>
    <t>ro =</t>
  </si>
  <si>
    <r>
      <t xml:space="preserve"> J . K</t>
    </r>
    <r>
      <rPr>
        <vertAlign val="superscript"/>
        <sz val="10"/>
        <rFont val="Times New Roman"/>
        <family val="1"/>
      </rPr>
      <t>-1</t>
    </r>
  </si>
  <si>
    <r>
      <t xml:space="preserve"> kg . m</t>
    </r>
    <r>
      <rPr>
        <vertAlign val="superscript"/>
        <sz val="10"/>
        <rFont val="Times New Roman"/>
        <family val="1"/>
      </rPr>
      <t>-3</t>
    </r>
  </si>
  <si>
    <r>
      <t>p</t>
    </r>
    <r>
      <rPr>
        <vertAlign val="subscript"/>
        <sz val="10"/>
        <rFont val="Times New Roman"/>
        <family val="1"/>
      </rPr>
      <t>stř</t>
    </r>
    <r>
      <rPr>
        <sz val="10"/>
        <rFont val="Times New Roman"/>
        <family val="1"/>
      </rPr>
      <t xml:space="preserve"> =</t>
    </r>
  </si>
  <si>
    <r>
      <t xml:space="preserve"> </t>
    </r>
    <r>
      <rPr>
        <sz val="10"/>
        <rFont val="Times New Roman"/>
        <family val="1"/>
      </rPr>
      <t>MPa</t>
    </r>
  </si>
  <si>
    <t>sin π/4 =</t>
  </si>
  <si>
    <r>
      <t xml:space="preserve">           1/3.sin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π/4 =</t>
    </r>
  </si>
  <si>
    <t>pro zadané zatížení je zapotřebí</t>
  </si>
  <si>
    <t>Výpočtové schéma pro zadané hodnoty</t>
  </si>
  <si>
    <r>
      <t>delta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/delta =</t>
    </r>
  </si>
  <si>
    <r>
      <rPr>
        <sz val="10"/>
        <rFont val="Calibri"/>
        <family val="2"/>
      </rPr>
      <t>Ψ</t>
    </r>
    <r>
      <rPr>
        <sz val="10"/>
        <rFont val="Times New Roman"/>
        <family val="1"/>
      </rPr>
      <t xml:space="preserve"> = psi</t>
    </r>
  </si>
  <si>
    <r>
      <rPr>
        <sz val="10"/>
        <rFont val="Calibri"/>
        <family val="2"/>
      </rPr>
      <t>η</t>
    </r>
    <r>
      <rPr>
        <sz val="12.5"/>
        <rFont val="Arial"/>
        <family val="2"/>
      </rPr>
      <t xml:space="preserve"> </t>
    </r>
    <r>
      <rPr>
        <sz val="10"/>
        <rFont val="Times New Roman"/>
        <family val="1"/>
      </rPr>
      <t>= eta</t>
    </r>
  </si>
  <si>
    <r>
      <rPr>
        <sz val="10"/>
        <rFont val="Calibri"/>
        <family val="2"/>
      </rPr>
      <t>δ</t>
    </r>
    <r>
      <rPr>
        <sz val="10"/>
        <rFont val="Times New Roman"/>
        <family val="1"/>
      </rPr>
      <t xml:space="preserve"> = delta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</si>
</sst>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0E+00"/>
    <numFmt numFmtId="166" formatCode="0.00000000E+00"/>
  </numFmts>
  <fonts count="48">
    <font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5"/>
      <name val="Times New Roman"/>
      <family val="1"/>
    </font>
    <font>
      <sz val="8"/>
      <name val="Arial"/>
      <family val="0"/>
    </font>
    <font>
      <vertAlign val="subscript"/>
      <sz val="10"/>
      <name val="Times New Roman"/>
      <family val="1"/>
    </font>
    <font>
      <sz val="10"/>
      <name val="Calibri"/>
      <family val="2"/>
    </font>
    <font>
      <sz val="15"/>
      <name val="Arial"/>
      <family val="2"/>
    </font>
    <font>
      <vertAlign val="subscript"/>
      <sz val="10"/>
      <name val="Calibri"/>
      <family val="2"/>
    </font>
    <font>
      <sz val="12.5"/>
      <name val="Times New Roman"/>
      <family val="1"/>
    </font>
    <font>
      <vertAlign val="subscript"/>
      <sz val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FCF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165" fontId="1" fillId="34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0" fillId="34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0" fontId="1" fillId="34" borderId="0" xfId="0" applyFont="1" applyFill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27</xdr:row>
      <xdr:rowOff>19050</xdr:rowOff>
    </xdr:from>
    <xdr:to>
      <xdr:col>21</xdr:col>
      <xdr:colOff>504825</xdr:colOff>
      <xdr:row>44</xdr:row>
      <xdr:rowOff>161925</xdr:rowOff>
    </xdr:to>
    <xdr:pic>
      <xdr:nvPicPr>
        <xdr:cNvPr id="1" name="Picture 1" descr="trib_II368"/>
        <xdr:cNvPicPr preferRelativeResize="1">
          <a:picLocks noChangeAspect="1"/>
        </xdr:cNvPicPr>
      </xdr:nvPicPr>
      <xdr:blipFill>
        <a:blip r:embed="rId1"/>
        <a:srcRect t="32963" b="22100"/>
        <a:stretch>
          <a:fillRect/>
        </a:stretch>
      </xdr:blipFill>
      <xdr:spPr>
        <a:xfrm>
          <a:off x="10077450" y="4391025"/>
          <a:ext cx="44291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04"/>
  <sheetViews>
    <sheetView tabSelected="1" zoomScale="125" zoomScaleNormal="125" zoomScalePageLayoutView="0" workbookViewId="0" topLeftCell="B1">
      <selection activeCell="V10" sqref="V10"/>
    </sheetView>
  </sheetViews>
  <sheetFormatPr defaultColWidth="9.140625" defaultRowHeight="12.75"/>
  <cols>
    <col min="6" max="6" width="12.7109375" style="0" bestFit="1" customWidth="1"/>
    <col min="12" max="12" width="11.421875" style="0" bestFit="1" customWidth="1"/>
    <col min="13" max="13" width="13.7109375" style="0" bestFit="1" customWidth="1"/>
    <col min="14" max="14" width="12.57421875" style="0" customWidth="1"/>
    <col min="16" max="16" width="13.28125" style="0" customWidth="1"/>
    <col min="24" max="24" width="12.8515625" style="0" customWidth="1"/>
  </cols>
  <sheetData>
    <row r="6" spans="1:2" ht="12.75">
      <c r="A6" s="1"/>
      <c r="B6" s="1" t="s">
        <v>0</v>
      </c>
    </row>
    <row r="7" ht="12.75" customHeight="1">
      <c r="A7" s="1"/>
    </row>
    <row r="8" spans="1:19" ht="12.75" customHeight="1">
      <c r="A8" s="1"/>
      <c r="B8" s="1" t="s">
        <v>1</v>
      </c>
      <c r="J8" s="1"/>
      <c r="K8" s="1"/>
      <c r="L8" s="8" t="s">
        <v>57</v>
      </c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 t="s">
        <v>2</v>
      </c>
      <c r="J9" s="1"/>
      <c r="K9" s="1"/>
      <c r="L9" s="1" t="s">
        <v>58</v>
      </c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 t="s">
        <v>3</v>
      </c>
      <c r="J10" s="1"/>
      <c r="K10" s="1"/>
      <c r="L10" s="8" t="s">
        <v>60</v>
      </c>
      <c r="M10" s="1"/>
      <c r="N10" s="1"/>
      <c r="O10" s="1"/>
      <c r="P10" s="1"/>
      <c r="Q10" s="1"/>
      <c r="R10" s="1"/>
      <c r="S10" s="1"/>
    </row>
    <row r="11" spans="2:19" ht="12.75" customHeight="1">
      <c r="B11" s="1" t="s">
        <v>6</v>
      </c>
      <c r="J11" s="1"/>
      <c r="K11" s="1"/>
      <c r="L11" s="1" t="s">
        <v>81</v>
      </c>
      <c r="M11" s="1"/>
      <c r="N11" s="1"/>
      <c r="O11" s="1"/>
      <c r="P11" s="1"/>
      <c r="Q11" s="1"/>
      <c r="R11" s="1"/>
      <c r="S11" s="1"/>
    </row>
    <row r="12" spans="2:19" ht="12.75" customHeight="1">
      <c r="B12" s="1" t="s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2.75" customHeight="1">
      <c r="B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2.75" customHeight="1">
      <c r="B14" s="1" t="s">
        <v>75</v>
      </c>
      <c r="C14" s="17"/>
      <c r="G14" s="1" t="s">
        <v>76</v>
      </c>
      <c r="H14" s="9"/>
      <c r="J14" s="1"/>
      <c r="K14" s="1"/>
      <c r="O14" s="1"/>
      <c r="P14" s="1"/>
      <c r="Q14" s="1"/>
      <c r="R14" s="1"/>
      <c r="S14" s="1"/>
    </row>
    <row r="15" spans="2:19" ht="12.75" customHeight="1">
      <c r="B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20" ht="12.75" customHeight="1">
      <c r="B16" s="1" t="s">
        <v>40</v>
      </c>
      <c r="F16" s="1"/>
      <c r="G16" s="1" t="s">
        <v>56</v>
      </c>
      <c r="H16" s="5">
        <v>4</v>
      </c>
      <c r="I16" s="1"/>
      <c r="J16" s="1"/>
      <c r="K16" s="1"/>
      <c r="L16" s="1" t="s">
        <v>78</v>
      </c>
      <c r="M16" s="5">
        <v>4</v>
      </c>
      <c r="N16" s="1" t="s">
        <v>61</v>
      </c>
      <c r="O16" s="1"/>
      <c r="P16" s="1" t="s">
        <v>66</v>
      </c>
      <c r="Q16" s="6">
        <f>C20/2</f>
        <v>90</v>
      </c>
      <c r="R16" s="1" t="s">
        <v>43</v>
      </c>
      <c r="S16" s="1"/>
      <c r="T16" s="2" t="s">
        <v>132</v>
      </c>
    </row>
    <row r="17" spans="2:19" ht="12.75" customHeight="1">
      <c r="B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20" ht="12.75" customHeight="1">
      <c r="B18" s="1" t="s">
        <v>42</v>
      </c>
      <c r="C18" s="5">
        <v>80</v>
      </c>
      <c r="D18" s="1" t="s">
        <v>41</v>
      </c>
      <c r="F18" s="1"/>
      <c r="G18" s="1" t="s">
        <v>45</v>
      </c>
      <c r="H18" s="5">
        <v>20000</v>
      </c>
      <c r="I18" s="1" t="s">
        <v>44</v>
      </c>
      <c r="J18" s="1"/>
      <c r="K18" s="1"/>
      <c r="L18" s="1" t="s">
        <v>48</v>
      </c>
      <c r="M18" s="5">
        <v>50</v>
      </c>
      <c r="N18" s="4" t="s">
        <v>67</v>
      </c>
      <c r="O18" s="1"/>
      <c r="P18" s="1" t="s">
        <v>68</v>
      </c>
      <c r="Q18" s="6">
        <f>360/H16</f>
        <v>90</v>
      </c>
      <c r="R18" s="4" t="s">
        <v>54</v>
      </c>
      <c r="S18" s="1"/>
      <c r="T18" s="2" t="s">
        <v>133</v>
      </c>
    </row>
    <row r="19" spans="2:19" ht="12.75" customHeight="1">
      <c r="B19" s="1"/>
      <c r="C19" s="1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20" ht="12.75" customHeight="1">
      <c r="B20" s="1" t="s">
        <v>87</v>
      </c>
      <c r="C20" s="5">
        <v>180</v>
      </c>
      <c r="D20" s="1" t="s">
        <v>43</v>
      </c>
      <c r="F20" s="1"/>
      <c r="G20" s="1" t="s">
        <v>89</v>
      </c>
      <c r="H20" s="5">
        <v>0.5</v>
      </c>
      <c r="I20" s="1"/>
      <c r="J20" s="1"/>
      <c r="K20" s="1"/>
      <c r="L20" s="1" t="s">
        <v>59</v>
      </c>
      <c r="M20" s="5">
        <v>0.5</v>
      </c>
      <c r="N20" s="1"/>
      <c r="O20" s="1"/>
      <c r="P20" s="1" t="s">
        <v>125</v>
      </c>
      <c r="Q20" s="21">
        <f>H18/(C20*C22*C20)</f>
        <v>0.6172839506172839</v>
      </c>
      <c r="R20" s="4" t="s">
        <v>126</v>
      </c>
      <c r="S20" s="1"/>
      <c r="T20" s="2" t="s">
        <v>134</v>
      </c>
    </row>
    <row r="21" spans="2:19" ht="12.75" customHeight="1">
      <c r="B21" s="1"/>
      <c r="C21" s="1"/>
      <c r="D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2.75" customHeight="1">
      <c r="B22" s="1" t="s">
        <v>88</v>
      </c>
      <c r="C22" s="5">
        <v>1</v>
      </c>
      <c r="D22" s="1"/>
      <c r="F22" s="1"/>
      <c r="G22" s="1" t="s">
        <v>47</v>
      </c>
      <c r="H22" s="5">
        <v>0.0215</v>
      </c>
      <c r="I22" s="1" t="s">
        <v>46</v>
      </c>
      <c r="J22" s="1"/>
      <c r="K22" s="1"/>
      <c r="L22" s="1" t="s">
        <v>49</v>
      </c>
      <c r="M22" s="5">
        <v>0.0015</v>
      </c>
      <c r="N22" s="1"/>
      <c r="O22" s="1"/>
      <c r="P22" s="1" t="s">
        <v>131</v>
      </c>
      <c r="Q22" s="5">
        <v>0.5</v>
      </c>
      <c r="R22" s="20"/>
      <c r="S22" s="1"/>
    </row>
    <row r="23" spans="2:19" ht="12.75" customHeight="1"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2.75" customHeight="1">
      <c r="B24" s="1"/>
    </row>
    <row r="25" spans="2:15" ht="12.75" customHeight="1">
      <c r="B25" s="1" t="s">
        <v>50</v>
      </c>
      <c r="L25" s="1" t="s">
        <v>130</v>
      </c>
      <c r="O25" s="9"/>
    </row>
    <row r="26" ht="12.75" customHeight="1"/>
    <row r="27" spans="2:18" ht="12.75" customHeight="1">
      <c r="B27" s="1" t="s">
        <v>5</v>
      </c>
      <c r="E27" s="1" t="s">
        <v>7</v>
      </c>
      <c r="L27" s="1" t="s">
        <v>51</v>
      </c>
      <c r="M27" s="6">
        <f>Q16*M22</f>
        <v>0.135</v>
      </c>
      <c r="N27" s="1" t="s">
        <v>43</v>
      </c>
      <c r="O27" s="1"/>
      <c r="P27" s="1"/>
      <c r="Q27" s="1"/>
      <c r="R27" s="1"/>
    </row>
    <row r="28" spans="12:18" ht="12.75" customHeight="1">
      <c r="L28" s="1"/>
      <c r="M28" s="1"/>
      <c r="N28" s="1"/>
      <c r="O28" s="1"/>
      <c r="P28" s="1"/>
      <c r="Q28" s="1"/>
      <c r="R28" s="1"/>
    </row>
    <row r="29" spans="2:18" ht="15.75">
      <c r="B29" s="1" t="s">
        <v>80</v>
      </c>
      <c r="L29" s="1" t="s">
        <v>53</v>
      </c>
      <c r="M29" s="6">
        <f>2*Q18/(1+Q22)</f>
        <v>120</v>
      </c>
      <c r="N29" s="4" t="s">
        <v>54</v>
      </c>
      <c r="O29" s="1"/>
      <c r="P29" s="1"/>
      <c r="Q29" s="1"/>
      <c r="R29" s="1"/>
    </row>
    <row r="30" spans="3:18" ht="12.75">
      <c r="C30" s="1"/>
      <c r="L30" s="1"/>
      <c r="M30" s="1"/>
      <c r="N30" s="1"/>
      <c r="O30" s="1"/>
      <c r="P30" s="1"/>
      <c r="Q30" s="1"/>
      <c r="R30" s="1"/>
    </row>
    <row r="31" spans="2:18" ht="15.75">
      <c r="B31" s="1" t="s">
        <v>52</v>
      </c>
      <c r="F31" s="1"/>
      <c r="L31" s="1" t="s">
        <v>55</v>
      </c>
      <c r="M31" s="6">
        <f>M29*H20</f>
        <v>60</v>
      </c>
      <c r="N31" s="4" t="s">
        <v>54</v>
      </c>
      <c r="O31" s="1"/>
      <c r="P31" s="1"/>
      <c r="Q31" s="1"/>
      <c r="R31" s="1"/>
    </row>
    <row r="32" spans="12:18" ht="12.75">
      <c r="L32" s="1"/>
      <c r="M32" s="1"/>
      <c r="N32" s="1"/>
      <c r="O32" s="1"/>
      <c r="P32" s="1"/>
      <c r="Q32" s="1"/>
      <c r="R32" s="1"/>
    </row>
    <row r="33" spans="2:18" ht="19.5">
      <c r="B33" s="1" t="s">
        <v>90</v>
      </c>
      <c r="H33" s="1" t="s">
        <v>64</v>
      </c>
      <c r="J33" s="1">
        <f>PI()*0.18*80/60</f>
        <v>0.7539822368615503</v>
      </c>
      <c r="K33" s="1" t="s">
        <v>23</v>
      </c>
      <c r="L33" s="1" t="s">
        <v>62</v>
      </c>
      <c r="M33" s="6">
        <f>PI()*C20*C18/60000</f>
        <v>0.7539822368615503</v>
      </c>
      <c r="N33" s="1" t="s">
        <v>63</v>
      </c>
      <c r="O33" s="1"/>
      <c r="P33" s="1"/>
      <c r="Q33" s="1"/>
      <c r="R33" s="1"/>
    </row>
    <row r="34" spans="12:18" ht="12.75">
      <c r="L34" s="1"/>
      <c r="M34" s="1"/>
      <c r="N34" s="1"/>
      <c r="O34" s="1"/>
      <c r="P34" s="1"/>
      <c r="Q34" s="1"/>
      <c r="R34" s="1"/>
    </row>
    <row r="35" spans="2:18" ht="12.75">
      <c r="B35" s="1" t="s">
        <v>8</v>
      </c>
      <c r="L35" s="1"/>
      <c r="M35" s="1"/>
      <c r="N35" s="1"/>
      <c r="O35" s="1"/>
      <c r="P35" s="1"/>
      <c r="Q35" s="1"/>
      <c r="R35" s="1"/>
    </row>
    <row r="36" spans="12:18" ht="12.75">
      <c r="L36" s="1"/>
      <c r="M36" s="1"/>
      <c r="N36" s="1"/>
      <c r="O36" s="1"/>
      <c r="P36" s="1"/>
      <c r="Q36" s="1"/>
      <c r="R36" s="1"/>
    </row>
    <row r="37" spans="2:18" ht="16.5">
      <c r="B37" s="1" t="s">
        <v>25</v>
      </c>
      <c r="I37" s="1" t="s">
        <v>91</v>
      </c>
      <c r="L37" s="1"/>
      <c r="M37" s="1"/>
      <c r="N37" s="1"/>
      <c r="O37" s="1"/>
      <c r="P37" s="1"/>
      <c r="Q37" s="1"/>
      <c r="R37" s="1"/>
    </row>
    <row r="38" spans="12:18" ht="12.75">
      <c r="L38" s="1"/>
      <c r="M38" s="1"/>
      <c r="N38" s="1"/>
      <c r="O38" s="1"/>
      <c r="P38" s="1"/>
      <c r="Q38" s="1"/>
      <c r="R38" s="1"/>
    </row>
    <row r="39" spans="2:18" ht="12.75">
      <c r="B39" s="1" t="s">
        <v>9</v>
      </c>
      <c r="L39" s="1"/>
      <c r="M39" s="1"/>
      <c r="N39" s="1"/>
      <c r="O39" s="1"/>
      <c r="P39" s="1"/>
      <c r="Q39" s="1"/>
      <c r="R39" s="1"/>
    </row>
    <row r="40" spans="11:18" ht="12.75">
      <c r="K40" s="1"/>
      <c r="L40" s="1"/>
      <c r="M40" s="1"/>
      <c r="N40" s="1"/>
      <c r="O40" s="1"/>
      <c r="P40" s="1"/>
      <c r="Q40" s="1"/>
      <c r="R40" s="1"/>
    </row>
    <row r="41" spans="3:18" ht="16.5">
      <c r="C41" s="1" t="s">
        <v>92</v>
      </c>
      <c r="K41" s="1" t="s">
        <v>65</v>
      </c>
      <c r="L41" s="1"/>
      <c r="M41" s="6">
        <f>2*H18/(C20*C20*C22*M16*1.5*SIN(Q18*PI()/360))</f>
        <v>0.2909904449327356</v>
      </c>
      <c r="N41" s="1"/>
      <c r="O41" s="1"/>
      <c r="P41" s="1"/>
      <c r="Q41" s="1"/>
      <c r="R41" s="1"/>
    </row>
    <row r="42" spans="11:12" ht="12.75">
      <c r="K42" s="1"/>
      <c r="L42" s="1"/>
    </row>
    <row r="43" spans="2:12" ht="12.75">
      <c r="B43" s="1" t="s">
        <v>10</v>
      </c>
      <c r="K43" s="1"/>
      <c r="L43" s="1"/>
    </row>
    <row r="44" ht="12.75">
      <c r="B44" s="1" t="s">
        <v>15</v>
      </c>
    </row>
    <row r="45" ht="14.25">
      <c r="B45" s="1" t="s">
        <v>26</v>
      </c>
    </row>
    <row r="47" spans="2:14" ht="16.5">
      <c r="B47" s="1" t="s">
        <v>77</v>
      </c>
      <c r="H47" s="1" t="s">
        <v>79</v>
      </c>
      <c r="L47" s="1" t="s">
        <v>69</v>
      </c>
      <c r="M47" s="7">
        <f>PI()*((M27*0.001)^3)*M16*M20*1000000/12/H22</f>
        <v>5.9918573837798356E-05</v>
      </c>
      <c r="N47" s="1" t="s">
        <v>70</v>
      </c>
    </row>
    <row r="48" ht="12.75">
      <c r="B48" s="1"/>
    </row>
    <row r="49" spans="2:13" ht="18.75">
      <c r="B49" s="1" t="s">
        <v>19</v>
      </c>
      <c r="F49" s="2" t="s">
        <v>35</v>
      </c>
      <c r="H49" s="1" t="s">
        <v>20</v>
      </c>
      <c r="L49" s="1">
        <f>PI()*(0.135*0.001)^3*2000000/(12*0.0215)*100000</f>
        <v>5.991857383779835</v>
      </c>
      <c r="M49" s="1" t="s">
        <v>21</v>
      </c>
    </row>
    <row r="51" spans="2:13" ht="19.5">
      <c r="B51" s="1" t="s">
        <v>36</v>
      </c>
      <c r="J51" s="1" t="s">
        <v>33</v>
      </c>
      <c r="L51" t="s">
        <v>71</v>
      </c>
      <c r="M51" s="6">
        <f>PI()/12</f>
        <v>0.2617993877991494</v>
      </c>
    </row>
    <row r="53" spans="2:7" ht="16.5">
      <c r="B53" s="1" t="s">
        <v>11</v>
      </c>
      <c r="G53" s="1" t="s">
        <v>83</v>
      </c>
    </row>
    <row r="55" spans="2:10" ht="14.25">
      <c r="B55" s="1" t="s">
        <v>12</v>
      </c>
      <c r="J55" s="1" t="s">
        <v>82</v>
      </c>
    </row>
    <row r="56" ht="12.75">
      <c r="B56" s="1" t="s">
        <v>13</v>
      </c>
    </row>
    <row r="57" ht="12.75">
      <c r="B57" s="1" t="s">
        <v>14</v>
      </c>
    </row>
    <row r="59" ht="14.25">
      <c r="B59" s="1" t="s">
        <v>34</v>
      </c>
    </row>
    <row r="60" ht="12.75">
      <c r="B60" s="1"/>
    </row>
    <row r="61" spans="2:17" ht="16.5">
      <c r="B61" s="1" t="s">
        <v>37</v>
      </c>
      <c r="O61" s="1" t="s">
        <v>72</v>
      </c>
      <c r="P61" s="7">
        <f>H22/((M27*0.001)^3*M51)</f>
        <v>33378631564.46395</v>
      </c>
      <c r="Q61" s="1" t="s">
        <v>73</v>
      </c>
    </row>
    <row r="62" ht="12.75">
      <c r="B62" s="1"/>
    </row>
    <row r="63" spans="2:21" ht="16.5">
      <c r="B63" s="1" t="s">
        <v>96</v>
      </c>
      <c r="O63" s="1" t="s">
        <v>127</v>
      </c>
      <c r="P63" s="1">
        <f>SIN(PI()/4)</f>
        <v>0.7071067811865475</v>
      </c>
      <c r="Q63" s="1" t="s">
        <v>128</v>
      </c>
      <c r="S63" s="1">
        <f>1/3*(SIN(PI()/4))^3</f>
        <v>0.11785113019775789</v>
      </c>
      <c r="T63" s="1"/>
      <c r="U63" s="1"/>
    </row>
    <row r="64" spans="2:24" ht="16.5">
      <c r="B64" s="1" t="s">
        <v>85</v>
      </c>
      <c r="O64" s="1" t="s">
        <v>84</v>
      </c>
      <c r="P64" s="1"/>
      <c r="Q64" s="1"/>
      <c r="R64" s="1" t="s">
        <v>97</v>
      </c>
      <c r="S64" s="1"/>
      <c r="T64" s="1" t="s">
        <v>102</v>
      </c>
      <c r="U64" s="1"/>
      <c r="V64" s="1" t="s">
        <v>103</v>
      </c>
      <c r="X64" s="1" t="s">
        <v>104</v>
      </c>
    </row>
    <row r="65" spans="2:24" ht="12.75">
      <c r="B65" s="1"/>
      <c r="O65" s="12">
        <v>0</v>
      </c>
      <c r="P65" s="9">
        <f>R65*6</f>
        <v>1.5707963267948966</v>
      </c>
      <c r="Q65" s="1"/>
      <c r="R65" s="6">
        <f>M51</f>
        <v>0.2617993877991494</v>
      </c>
      <c r="S65" s="1"/>
      <c r="T65" s="6">
        <f>R65/R$65</f>
        <v>1</v>
      </c>
      <c r="U65" s="1"/>
      <c r="V65" s="6">
        <f>M16*M20</f>
        <v>2</v>
      </c>
      <c r="X65" s="6">
        <f>M$27*M$27*M$27/H$22*R65*V65*0.001</f>
        <v>5.991857383779836E-05</v>
      </c>
    </row>
    <row r="66" spans="2:24" ht="12.75">
      <c r="B66" s="1"/>
      <c r="O66" s="12" t="s">
        <v>98</v>
      </c>
      <c r="P66" s="6">
        <f>2*(PI()/4-3*L75*SIN(PI()/4)+3*L75*L75*(PI()/8+1/4)-L75*L75*L75*(SIN(PI()/4-1/3*(SIN(PI()/4)^3))))</f>
        <v>0.8130732687871208</v>
      </c>
      <c r="Q66" s="1"/>
      <c r="R66" s="6">
        <f>P66/6</f>
        <v>0.13551221146452014</v>
      </c>
      <c r="S66" s="1"/>
      <c r="T66" s="6">
        <f>R66/R$65</f>
        <v>0.5176185192934222</v>
      </c>
      <c r="U66" s="1"/>
      <c r="V66" s="6">
        <f>M$16*1/(1+T66)</f>
        <v>2.6357084795343253</v>
      </c>
      <c r="X66" s="6">
        <f>M$27*M$27*M$27/H$22*R66*V66*0.001</f>
        <v>4.0873201102652366E-05</v>
      </c>
    </row>
    <row r="67" spans="2:24" ht="15.75">
      <c r="B67" s="8"/>
      <c r="C67" s="8" t="s">
        <v>93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 t="s">
        <v>99</v>
      </c>
      <c r="P67" s="6">
        <f>2*(PI()/4+3*L75*L75*(PI()/8+1/4))</f>
        <v>1.7560693939234342</v>
      </c>
      <c r="Q67" s="1"/>
      <c r="R67" s="6">
        <f>P67/6</f>
        <v>0.2926782323205724</v>
      </c>
      <c r="S67" s="8"/>
      <c r="T67" s="6">
        <f>R67/R$65</f>
        <v>1.1179484978212133</v>
      </c>
      <c r="U67" s="8"/>
      <c r="V67" s="6">
        <f>M$16*1/(1+T67)</f>
        <v>1.8886200510139413</v>
      </c>
      <c r="X67" s="6">
        <f>M$27*M$27*M$27/H$22*R67*V67*0.001</f>
        <v>6.325543768648406E-05</v>
      </c>
    </row>
    <row r="68" spans="10:24" ht="12.75">
      <c r="J68" s="1"/>
      <c r="K68" s="1"/>
      <c r="O68" s="13" t="s">
        <v>100</v>
      </c>
      <c r="P68" s="14">
        <f>2*(PI()/4+3*L75*SIN(PI()/4)+3*L75*L75*(PI()/8+1/4)+L75*L75*L75*(SIN(PI()/4)-1/3*(SIN(PI()/4))^3))</f>
        <v>2.69843773462037</v>
      </c>
      <c r="Q68" s="8"/>
      <c r="R68" s="6">
        <f>P68/6</f>
        <v>0.4497396224367283</v>
      </c>
      <c r="S68" s="1"/>
      <c r="T68" s="6">
        <f>R68/R$65</f>
        <v>1.717878816362112</v>
      </c>
      <c r="U68" s="1"/>
      <c r="V68" s="6">
        <f>M$16*1/(1+T68)</f>
        <v>1.4717359640611243</v>
      </c>
      <c r="X68" s="6">
        <f>M$27*M$27*M$27/H$22*R68*V68*0.001</f>
        <v>7.574498765942682E-05</v>
      </c>
    </row>
    <row r="69" spans="2:24" ht="14.25">
      <c r="B69" s="1" t="s">
        <v>86</v>
      </c>
      <c r="J69" s="1"/>
      <c r="K69" s="1"/>
      <c r="L69" s="1"/>
      <c r="M69" s="1"/>
      <c r="N69" s="1"/>
      <c r="O69" s="12" t="s">
        <v>101</v>
      </c>
      <c r="P69" s="6">
        <f>P67</f>
        <v>1.7560693939234342</v>
      </c>
      <c r="Q69" s="1"/>
      <c r="R69" s="6">
        <f>P69/6</f>
        <v>0.2926782323205724</v>
      </c>
      <c r="S69" s="1"/>
      <c r="T69" s="6">
        <f>R69/R$65</f>
        <v>1.1179484978212133</v>
      </c>
      <c r="U69" s="1"/>
      <c r="V69" s="6">
        <f>M$16*1/(1+T69)</f>
        <v>1.8886200510139413</v>
      </c>
      <c r="X69" s="6">
        <f>M$27*M$27*M$27/H$22*R69*V69*0.001</f>
        <v>6.325543768648406E-05</v>
      </c>
    </row>
    <row r="70" spans="10:21" ht="12.7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>
      <c r="A71" s="1"/>
      <c r="B71" s="1"/>
      <c r="C71" t="s">
        <v>32</v>
      </c>
      <c r="E71" s="1" t="s">
        <v>16</v>
      </c>
      <c r="H71" s="1"/>
      <c r="I71" s="1"/>
      <c r="J71" s="1"/>
      <c r="K71" s="1"/>
      <c r="L71" s="1" t="s">
        <v>74</v>
      </c>
      <c r="N71" s="1" t="s">
        <v>16</v>
      </c>
      <c r="O71" s="1"/>
      <c r="P71" s="1" t="s">
        <v>16</v>
      </c>
      <c r="Q71" s="1"/>
      <c r="R71" s="1"/>
      <c r="S71" s="1"/>
      <c r="T71" s="1"/>
      <c r="U71" s="1"/>
    </row>
    <row r="72" spans="1:21" ht="12.75">
      <c r="A72" s="1"/>
      <c r="B72" s="10"/>
      <c r="C72" s="1">
        <v>0.2</v>
      </c>
      <c r="D72" s="1"/>
      <c r="E72" s="1">
        <v>0.266</v>
      </c>
      <c r="F72" s="1"/>
      <c r="G72" s="1"/>
      <c r="H72" s="1"/>
      <c r="I72" s="1"/>
      <c r="J72" s="1"/>
      <c r="K72" s="1"/>
      <c r="L72" s="1">
        <v>0.2</v>
      </c>
      <c r="M72" s="1"/>
      <c r="N72" s="16"/>
      <c r="O72" s="1"/>
      <c r="P72" s="1"/>
      <c r="Q72" s="1"/>
      <c r="R72" s="1"/>
      <c r="S72" s="1"/>
      <c r="T72" s="1"/>
      <c r="U72" s="1"/>
    </row>
    <row r="73" spans="1:21" ht="12.75">
      <c r="A73" s="1"/>
      <c r="B73" s="10"/>
      <c r="C73" s="1">
        <v>0.219</v>
      </c>
      <c r="D73" s="1"/>
      <c r="E73" s="1">
        <v>0.2904</v>
      </c>
      <c r="F73" s="1"/>
      <c r="G73" s="1"/>
      <c r="H73" s="1"/>
      <c r="I73" s="1"/>
      <c r="J73" s="1"/>
      <c r="K73" s="1"/>
      <c r="L73" s="1">
        <v>0.219</v>
      </c>
      <c r="M73" s="1"/>
      <c r="N73" s="16"/>
      <c r="O73" s="1"/>
      <c r="P73" s="1"/>
      <c r="Q73" s="1"/>
      <c r="R73" s="1"/>
      <c r="S73" s="1"/>
      <c r="T73" s="1"/>
      <c r="U73" s="1"/>
    </row>
    <row r="74" spans="1:21" ht="12.75">
      <c r="A74" s="1"/>
      <c r="B74" s="10"/>
      <c r="C74" s="1">
        <v>0.2194</v>
      </c>
      <c r="D74" s="1"/>
      <c r="E74" s="1">
        <v>0.29096</v>
      </c>
      <c r="F74" s="1"/>
      <c r="G74" s="1"/>
      <c r="H74" s="1"/>
      <c r="I74" s="1"/>
      <c r="J74" s="1"/>
      <c r="K74" s="1"/>
      <c r="L74" s="1">
        <v>0.2194</v>
      </c>
      <c r="M74" s="1"/>
      <c r="N74" s="16"/>
      <c r="O74" s="1"/>
      <c r="P74" s="1"/>
      <c r="Q74" s="1"/>
      <c r="R74" s="1"/>
      <c r="S74" s="1"/>
      <c r="T74" s="1"/>
      <c r="U74" s="1"/>
    </row>
    <row r="75" spans="1:21" ht="12.75">
      <c r="A75" s="1"/>
      <c r="B75" s="10"/>
      <c r="C75" s="1">
        <v>0.22</v>
      </c>
      <c r="D75" s="1"/>
      <c r="E75" s="1">
        <v>0.2917</v>
      </c>
      <c r="F75" s="1"/>
      <c r="G75" s="1"/>
      <c r="H75" s="1"/>
      <c r="I75" s="1"/>
      <c r="J75" s="1"/>
      <c r="K75" s="1"/>
      <c r="L75" s="15">
        <v>0.219193</v>
      </c>
      <c r="M75" s="1"/>
      <c r="N75" s="18">
        <f>(V$66-V$68)/M$16</f>
        <v>0.29099312886830025</v>
      </c>
      <c r="O75" s="1"/>
      <c r="P75" s="19">
        <f>M41</f>
        <v>0.2909904449327356</v>
      </c>
      <c r="Q75" s="1"/>
      <c r="R75" s="1"/>
      <c r="S75" s="1"/>
      <c r="T75" s="1"/>
      <c r="U75" s="1"/>
    </row>
    <row r="76" spans="2:2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2.75">
      <c r="B77" s="1" t="s">
        <v>17</v>
      </c>
      <c r="C77" s="1"/>
      <c r="D77" s="1"/>
      <c r="E77" s="1"/>
      <c r="F77" s="1"/>
      <c r="G77" s="1"/>
      <c r="H77" s="1"/>
      <c r="I77" s="1"/>
      <c r="J77" s="1"/>
      <c r="K77" s="1"/>
      <c r="L77" s="1" t="s">
        <v>105</v>
      </c>
      <c r="M77" s="1"/>
      <c r="N77" s="1" t="s">
        <v>106</v>
      </c>
      <c r="O77" s="1"/>
      <c r="P77" s="1" t="s">
        <v>129</v>
      </c>
      <c r="Q77" s="1"/>
      <c r="R77" s="1"/>
      <c r="S77" s="1"/>
      <c r="T77" s="1"/>
      <c r="U77" s="1"/>
    </row>
    <row r="78" spans="2:21" ht="16.5">
      <c r="B78" s="1" t="s">
        <v>28</v>
      </c>
      <c r="C78" s="1" t="s">
        <v>27</v>
      </c>
      <c r="D78" s="1" t="s">
        <v>29</v>
      </c>
      <c r="E78" s="1" t="s">
        <v>30</v>
      </c>
      <c r="F78" s="1" t="s">
        <v>31</v>
      </c>
      <c r="G78" s="1"/>
      <c r="H78" s="1"/>
      <c r="I78" s="1"/>
      <c r="J78" s="1"/>
      <c r="K78" s="1"/>
      <c r="L78" s="1"/>
      <c r="M78" s="1"/>
      <c r="N78" s="1" t="s">
        <v>107</v>
      </c>
      <c r="S78" s="1"/>
      <c r="T78" s="1"/>
      <c r="U78" s="1"/>
    </row>
    <row r="79" spans="2:21" ht="12.75">
      <c r="B79" s="1">
        <v>0</v>
      </c>
      <c r="C79" s="1">
        <v>0.2618</v>
      </c>
      <c r="D79" s="1">
        <v>1</v>
      </c>
      <c r="E79" s="1">
        <v>2</v>
      </c>
      <c r="F79" s="1">
        <v>5.99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2.75">
      <c r="B80" s="1">
        <v>1</v>
      </c>
      <c r="C80" s="1">
        <v>0.1356</v>
      </c>
      <c r="D80" s="1">
        <v>0.5179</v>
      </c>
      <c r="E80" s="1">
        <v>2.635</v>
      </c>
      <c r="F80" s="1">
        <v>4.09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2.75">
      <c r="B81" s="1">
        <v>2</v>
      </c>
      <c r="C81" s="1">
        <v>0.2927</v>
      </c>
      <c r="D81" s="1">
        <v>1.1182</v>
      </c>
      <c r="E81" s="1">
        <v>1.888</v>
      </c>
      <c r="F81" s="1">
        <v>6.33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2.75">
      <c r="B82" s="1">
        <v>3</v>
      </c>
      <c r="C82" s="1">
        <v>0.4499</v>
      </c>
      <c r="D82" s="1">
        <v>1.7185</v>
      </c>
      <c r="E82" s="1">
        <v>1.471</v>
      </c>
      <c r="F82" s="1">
        <v>7.58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2.75">
      <c r="B83" s="1">
        <v>4</v>
      </c>
      <c r="C83" s="1">
        <v>0.2927</v>
      </c>
      <c r="D83" s="1">
        <v>1.1182</v>
      </c>
      <c r="E83" s="1">
        <v>1.888</v>
      </c>
      <c r="F83" s="1">
        <v>6.33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7.25">
      <c r="B85" s="1" t="s">
        <v>95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 t="s">
        <v>108</v>
      </c>
      <c r="P85" s="6">
        <f>SUM(X66:X69)</f>
        <v>0.00024312906413504734</v>
      </c>
      <c r="Q85" s="1" t="s">
        <v>109</v>
      </c>
      <c r="R85" s="1"/>
      <c r="S85" s="1"/>
      <c r="T85" s="1"/>
      <c r="U85" s="1" t="s">
        <v>121</v>
      </c>
      <c r="V85" s="5">
        <v>2000</v>
      </c>
      <c r="W85" s="1" t="s">
        <v>123</v>
      </c>
      <c r="X85" s="1"/>
    </row>
    <row r="86" spans="2:2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6.5">
      <c r="B87" s="1" t="s">
        <v>94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 t="s">
        <v>110</v>
      </c>
      <c r="P87" s="5">
        <v>3</v>
      </c>
      <c r="Q87" s="1" t="s">
        <v>43</v>
      </c>
      <c r="R87" s="1"/>
      <c r="S87" s="1"/>
      <c r="T87" s="1"/>
      <c r="U87" s="1" t="s">
        <v>122</v>
      </c>
      <c r="V87" s="5">
        <v>1000</v>
      </c>
      <c r="W87" s="1" t="s">
        <v>124</v>
      </c>
      <c r="X87" s="1"/>
    </row>
    <row r="88" spans="2:2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6.5">
      <c r="B89" s="1" t="s">
        <v>39</v>
      </c>
      <c r="C89" s="1"/>
      <c r="D89" s="1"/>
      <c r="E89" s="1"/>
      <c r="F89" s="1"/>
      <c r="G89" s="1"/>
      <c r="H89" s="1"/>
      <c r="I89" s="1"/>
      <c r="J89" s="1" t="s">
        <v>111</v>
      </c>
      <c r="K89" s="6">
        <f>PI()*P91*K91</f>
        <v>4398.22971502571</v>
      </c>
      <c r="L89" s="1" t="s">
        <v>43</v>
      </c>
      <c r="M89" s="1"/>
      <c r="N89" s="1"/>
      <c r="O89" s="1" t="s">
        <v>111</v>
      </c>
      <c r="P89" s="6">
        <f>P61*P87*P87*P87*P87/(28.5*H22)*0.000000000001</f>
        <v>4.4123527649475</v>
      </c>
      <c r="Q89" s="1" t="s">
        <v>112</v>
      </c>
      <c r="R89" s="1"/>
      <c r="S89" s="1"/>
      <c r="T89" s="1"/>
      <c r="U89" s="1"/>
      <c r="V89" s="1"/>
      <c r="W89" s="1"/>
      <c r="X89" s="1"/>
    </row>
    <row r="90" spans="2:2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4.25">
      <c r="B91" s="1" t="s">
        <v>18</v>
      </c>
      <c r="C91" s="1"/>
      <c r="D91" s="1"/>
      <c r="E91" s="1"/>
      <c r="F91" s="1"/>
      <c r="G91" s="1"/>
      <c r="H91" s="1"/>
      <c r="I91" s="1"/>
      <c r="J91" s="1" t="s">
        <v>113</v>
      </c>
      <c r="K91" s="5">
        <v>35</v>
      </c>
      <c r="L91" s="1"/>
      <c r="M91" s="1"/>
      <c r="N91" s="1"/>
      <c r="O91" s="1" t="s">
        <v>114</v>
      </c>
      <c r="P91" s="5">
        <v>40</v>
      </c>
      <c r="Q91" s="1" t="s">
        <v>43</v>
      </c>
      <c r="R91" s="1"/>
      <c r="S91" s="1"/>
      <c r="T91" s="1"/>
      <c r="U91" s="1"/>
      <c r="V91" s="1"/>
      <c r="W91" s="1"/>
      <c r="X91" s="1"/>
    </row>
    <row r="92" spans="2:2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4.25">
      <c r="B93" s="1" t="s">
        <v>22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 t="s">
        <v>115</v>
      </c>
      <c r="P93" s="6">
        <f>M16*1000000*P85</f>
        <v>972.5162565401894</v>
      </c>
      <c r="Q93" s="1" t="s">
        <v>24</v>
      </c>
      <c r="R93" s="1"/>
      <c r="S93" s="1"/>
      <c r="T93" s="1"/>
      <c r="U93" s="1"/>
      <c r="V93" s="1"/>
      <c r="W93" s="1"/>
      <c r="X93" s="1"/>
    </row>
    <row r="94" spans="2:2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6" ht="14.25">
      <c r="B95" s="1" t="s">
        <v>116</v>
      </c>
      <c r="C95" s="1"/>
      <c r="D95" s="1"/>
      <c r="E95" s="1" t="s">
        <v>118</v>
      </c>
      <c r="F95" s="1"/>
      <c r="G95" s="1"/>
      <c r="H95" s="1"/>
      <c r="J95" s="1"/>
      <c r="K95" s="1"/>
      <c r="L95" s="1"/>
      <c r="M95" s="1"/>
      <c r="N95" s="1"/>
      <c r="O95" s="1" t="s">
        <v>117</v>
      </c>
      <c r="P95" s="6">
        <f>PI()*C20*C22*C20*H22*M33/(M27*1000)</f>
        <v>12.22251809030906</v>
      </c>
      <c r="Q95" s="1" t="s">
        <v>24</v>
      </c>
      <c r="R95" s="1"/>
      <c r="S95" s="1"/>
      <c r="T95" s="1"/>
      <c r="U95" s="1"/>
      <c r="V95" s="1"/>
      <c r="W95" s="1"/>
      <c r="X95" s="1"/>
      <c r="Y95" s="3"/>
      <c r="Z95" s="1"/>
    </row>
    <row r="96" spans="2:2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4.25">
      <c r="B97" s="1" t="s">
        <v>38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 t="s">
        <v>119</v>
      </c>
      <c r="P97" s="6">
        <f>(P93+P95)/(P85*1000*2000)</f>
        <v>2.0251358638133037</v>
      </c>
      <c r="Q97" s="1" t="s">
        <v>120</v>
      </c>
      <c r="R97" s="1"/>
      <c r="S97" s="1"/>
      <c r="T97" s="1"/>
      <c r="U97" s="1"/>
      <c r="V97" s="1"/>
      <c r="W97" s="1"/>
      <c r="X97" s="1"/>
    </row>
    <row r="98" spans="2:25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Becka</dc:creator>
  <cp:keywords/>
  <dc:description/>
  <cp:lastModifiedBy>ucitel</cp:lastModifiedBy>
  <dcterms:created xsi:type="dcterms:W3CDTF">2012-11-14T17:44:32Z</dcterms:created>
  <dcterms:modified xsi:type="dcterms:W3CDTF">2014-11-13T13:55:07Z</dcterms:modified>
  <cp:category/>
  <cp:version/>
  <cp:contentType/>
  <cp:contentStatus/>
</cp:coreProperties>
</file>