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alcul" sheetId="1" r:id="rId1"/>
    <sheet name="Drawing" sheetId="2" r:id="rId2"/>
    <sheet name="Remarks" sheetId="3" r:id="rId3"/>
  </sheets>
  <externalReferences>
    <externalReference r:id="rId6"/>
  </externalReferences>
  <definedNames>
    <definedName name="cp">'Calcul'!$B$13</definedName>
    <definedName name="de">'Calcul'!$F$17</definedName>
    <definedName name="dl">'Calcul'!$F$45</definedName>
    <definedName name="ds">'Calcul'!$F$46</definedName>
    <definedName name="fi">'Calcul'!$J$4</definedName>
    <definedName name="h">'Calcul'!$F$5</definedName>
    <definedName name="k">'Calcul'!$F$47</definedName>
    <definedName name="kappa">'Calcul'!$B$11</definedName>
    <definedName name="kappa0">'Calcul'!$B$25</definedName>
    <definedName name="kout">'Calcul'!$F$48</definedName>
    <definedName name="L">'Calcul'!$B$4</definedName>
    <definedName name="lambda">'Calcul'!$B$15</definedName>
    <definedName name="mcp">'Calcul'!$F$49</definedName>
    <definedName name="mi">'Calcul'!$B$12</definedName>
    <definedName name="n">'Calcul'!$B$3</definedName>
    <definedName name="p">'Calcul'!$F$15</definedName>
    <definedName name="press">'Calcul'!$B$20</definedName>
    <definedName name="re">'Calcul'!$F$18</definedName>
    <definedName name="rho">'Calcul'!$B$14</definedName>
    <definedName name="rin">'Calcul'!$B$5</definedName>
    <definedName name="rmean">'Calcul'!$F$3</definedName>
    <definedName name="rout">'Calcul'!$B$6</definedName>
    <definedName name="s">'Calcul'!$B$7</definedName>
    <definedName name="sa">'Calcul'!$F$4</definedName>
    <definedName name="sc">'Calcul'!$F$7</definedName>
    <definedName name="st">'Calcul'!$J$7</definedName>
    <definedName name="t">'Calcul'!$B$21</definedName>
    <definedName name="te">'Calcul'!$B$24</definedName>
    <definedName name="u">'Calcul'!$B$17</definedName>
    <definedName name="ua">'Calcul'!$F$9</definedName>
    <definedName name="ut">'Calcul'!$F$8</definedName>
    <definedName name="v">'Calcul'!$I$9</definedName>
    <definedName name="volume">'Calcul'!$J$5</definedName>
    <definedName name="w">'Calcul'!$F$6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<sst xmlns="http://schemas.openxmlformats.org/spreadsheetml/2006/main" count="106" uniqueCount="88">
  <si>
    <t>ANNULAR CONTINUOUS HEATER</t>
  </si>
  <si>
    <t>Dimensions</t>
  </si>
  <si>
    <t>L=</t>
  </si>
  <si>
    <t>Rin=</t>
  </si>
  <si>
    <t>Rout=</t>
  </si>
  <si>
    <t>Liquid</t>
  </si>
  <si>
    <t>V=</t>
  </si>
  <si>
    <t>[ml/s]</t>
  </si>
  <si>
    <t>[m]</t>
  </si>
  <si>
    <t>kappa=</t>
  </si>
  <si>
    <t>[S/m]</t>
  </si>
  <si>
    <t>mi=</t>
  </si>
  <si>
    <t>[Pa.s]</t>
  </si>
  <si>
    <t>U=</t>
  </si>
  <si>
    <t>[V]</t>
  </si>
  <si>
    <t>Electrical source</t>
  </si>
  <si>
    <t>[m^2]</t>
  </si>
  <si>
    <t>fi=</t>
  </si>
  <si>
    <t>[m/s]</t>
  </si>
  <si>
    <t>s(pitch)=</t>
  </si>
  <si>
    <t>Longitud.velocity=</t>
  </si>
  <si>
    <t>Resid.time (annul)=</t>
  </si>
  <si>
    <t>Resid.time (tube)=</t>
  </si>
  <si>
    <t>[s]</t>
  </si>
  <si>
    <t>Intensity of el.field=</t>
  </si>
  <si>
    <t>[V/m]</t>
  </si>
  <si>
    <t>Power density=</t>
  </si>
  <si>
    <t>[V/m^3]</t>
  </si>
  <si>
    <t>Power=</t>
  </si>
  <si>
    <t>Volume=</t>
  </si>
  <si>
    <t>[m^3]</t>
  </si>
  <si>
    <t>[rad]</t>
  </si>
  <si>
    <t>[W]</t>
  </si>
  <si>
    <t>cp=</t>
  </si>
  <si>
    <t>[J/kg/K]</t>
  </si>
  <si>
    <t>rho=</t>
  </si>
  <si>
    <t>[kg/m^3]</t>
  </si>
  <si>
    <t>Temp.increase=</t>
  </si>
  <si>
    <t>[K]</t>
  </si>
  <si>
    <t>De=</t>
  </si>
  <si>
    <t>Re=</t>
  </si>
  <si>
    <t>[-]</t>
  </si>
  <si>
    <t>lambda (90/Re)=</t>
  </si>
  <si>
    <t>dp=</t>
  </si>
  <si>
    <t>[Pa]</t>
  </si>
  <si>
    <t>Estim.force on tape=</t>
  </si>
  <si>
    <t>[Newton]</t>
  </si>
  <si>
    <t>pressure=</t>
  </si>
  <si>
    <t>Very small - possible solution - choking (see draft)</t>
  </si>
  <si>
    <t>[bar]</t>
  </si>
  <si>
    <t>Wall thicknes</t>
  </si>
  <si>
    <t>Wall stress=</t>
  </si>
  <si>
    <t>(acceptable)</t>
  </si>
  <si>
    <t>[MPa]</t>
  </si>
  <si>
    <t>[kg/min]</t>
  </si>
  <si>
    <t>No.of threads</t>
  </si>
  <si>
    <t>Rmean=</t>
  </si>
  <si>
    <t>SC-Chan.cross section=</t>
  </si>
  <si>
    <t>SA-Annul. Cross section=</t>
  </si>
  <si>
    <t>[W]-exact solution (assuming constant kappa)</t>
  </si>
  <si>
    <t>H-Channel height=</t>
  </si>
  <si>
    <t>W-Channel width=</t>
  </si>
  <si>
    <t>UA-Axial velocity=</t>
  </si>
  <si>
    <t>UT-velocity in tube=</t>
  </si>
  <si>
    <t>ST-cross.s.of tube=</t>
  </si>
  <si>
    <t>mass flowrate</t>
  </si>
  <si>
    <t>[m^3/s]</t>
  </si>
  <si>
    <t>volum.flowrate=</t>
  </si>
  <si>
    <t>Dimensioning</t>
  </si>
  <si>
    <t>lambda=</t>
  </si>
  <si>
    <t>[W/m/K]</t>
  </si>
  <si>
    <t>Numerical solution</t>
  </si>
  <si>
    <t>Te</t>
  </si>
  <si>
    <t>[C]</t>
  </si>
  <si>
    <t>kappa0</t>
  </si>
  <si>
    <t>kappa1</t>
  </si>
  <si>
    <t>(kappa=kappa0+T.kappa1)</t>
  </si>
  <si>
    <t>dl=</t>
  </si>
  <si>
    <t>ds=</t>
  </si>
  <si>
    <t>k=</t>
  </si>
  <si>
    <t>kout=</t>
  </si>
  <si>
    <t>mcp=</t>
  </si>
  <si>
    <t xml:space="preserve"> </t>
  </si>
  <si>
    <t>Inlet (inner tube)</t>
  </si>
  <si>
    <t>Outlet</t>
  </si>
  <si>
    <t>blue cells</t>
  </si>
  <si>
    <t xml:space="preserve">          Input data are to be specified in</t>
  </si>
  <si>
    <t>[m] (20-cells)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</si>
</sst>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  <numFmt numFmtId="167" formatCode="0.0000"/>
  </numFmts>
  <fonts count="13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9.25"/>
      <name val="Arial CE"/>
      <family val="2"/>
    </font>
    <font>
      <b/>
      <sz val="10.75"/>
      <name val="Arial CE"/>
      <family val="2"/>
    </font>
    <font>
      <b/>
      <sz val="15.75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0" fontId="2" fillId="3" borderId="0" xfId="0" applyFont="1" applyFill="1" applyAlignment="1">
      <alignment/>
    </xf>
    <xf numFmtId="164" fontId="2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165" fontId="4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4" fillId="3" borderId="3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" fontId="4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0" fontId="0" fillId="6" borderId="1" xfId="0" applyFill="1" applyBorder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2" fontId="0" fillId="7" borderId="1" xfId="0" applyNumberFormat="1" applyFill="1" applyBorder="1" applyAlignment="1">
      <alignment/>
    </xf>
    <xf numFmtId="2" fontId="0" fillId="8" borderId="1" xfId="0" applyNumberFormat="1" applyFill="1" applyBorder="1" applyAlignment="1">
      <alignment/>
    </xf>
    <xf numFmtId="2" fontId="0" fillId="9" borderId="1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E"/>
                <a:ea typeface="Arial CE"/>
                <a:cs typeface="Arial CE"/>
              </a:rPr>
              <a:t>Temperature profiles</a:t>
            </a:r>
          </a:p>
        </c:rich>
      </c:tx>
      <c:layout>
        <c:manualLayout>
          <c:xMode val="factor"/>
          <c:yMode val="factor"/>
          <c:x val="0.269"/>
          <c:y val="-0.01825"/>
        </c:manualLayout>
      </c:layout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375"/>
          <c:y val="0"/>
          <c:w val="0.9605"/>
          <c:h val="0.94625"/>
        </c:manualLayout>
      </c:layout>
      <c:lineChart>
        <c:grouping val="standard"/>
        <c:varyColors val="0"/>
        <c:ser>
          <c:idx val="0"/>
          <c:order val="0"/>
          <c:tx>
            <c:v>Annular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Calcul!$B$31:$B$50</c:f>
              <c:numCache>
                <c:ptCount val="20"/>
                <c:pt idx="0">
                  <c:v>146.7151804192897</c:v>
                </c:pt>
                <c:pt idx="1">
                  <c:v>138.92682233492002</c:v>
                </c:pt>
                <c:pt idx="2">
                  <c:v>131.31538741686524</c:v>
                </c:pt>
                <c:pt idx="3">
                  <c:v>123.87701197396689</c:v>
                </c:pt>
                <c:pt idx="4">
                  <c:v>116.60791575040149</c:v>
                </c:pt>
                <c:pt idx="5">
                  <c:v>109.50440011798686</c:v>
                </c:pt>
                <c:pt idx="6">
                  <c:v>102.56284630793093</c:v>
                </c:pt>
                <c:pt idx="7">
                  <c:v>95.77971368115578</c:v>
                </c:pt>
                <c:pt idx="8">
                  <c:v>89.15153803634996</c:v>
                </c:pt>
                <c:pt idx="9">
                  <c:v>82.67492995492022</c:v>
                </c:pt>
                <c:pt idx="10">
                  <c:v>76.34657318203185</c:v>
                </c:pt>
                <c:pt idx="11">
                  <c:v>70.16322099421409</c:v>
                </c:pt>
                <c:pt idx="12">
                  <c:v>64.12169684624793</c:v>
                </c:pt>
                <c:pt idx="13">
                  <c:v>58.218892816458535</c:v>
                </c:pt>
                <c:pt idx="14">
                  <c:v>52.45176813035827</c:v>
                </c:pt>
                <c:pt idx="15">
                  <c:v>46.8173477155201</c:v>
                </c:pt>
                <c:pt idx="16">
                  <c:v>41.31272078759382</c:v>
                </c:pt>
                <c:pt idx="17">
                  <c:v>35.93503946678565</c:v>
                </c:pt>
                <c:pt idx="18">
                  <c:v>30.68151742414295</c:v>
                </c:pt>
                <c:pt idx="19">
                  <c:v>25.549428557000613</c:v>
                </c:pt>
              </c:numCache>
            </c:numRef>
          </c:val>
          <c:smooth val="0"/>
        </c:ser>
        <c:ser>
          <c:idx val="1"/>
          <c:order val="1"/>
          <c:tx>
            <c:v>Inner tube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Calcul!$C$31:$C$50</c:f>
              <c:numCache>
                <c:ptCount val="20"/>
                <c:pt idx="0">
                  <c:v>20</c:v>
                </c:pt>
                <c:pt idx="1">
                  <c:v>20.633340612652802</c:v>
                </c:pt>
                <c:pt idx="2">
                  <c:v>21.222773962980053</c:v>
                </c:pt>
                <c:pt idx="3">
                  <c:v>21.76945549971691</c:v>
                </c:pt>
                <c:pt idx="4">
                  <c:v>22.27451438667735</c:v>
                </c:pt>
                <c:pt idx="5">
                  <c:v>22.739054077438762</c:v>
                </c:pt>
                <c:pt idx="6">
                  <c:v>23.16415287754927</c:v>
                </c:pt>
                <c:pt idx="7">
                  <c:v>23.550864494529716</c:v>
                </c:pt>
                <c:pt idx="8">
                  <c:v>23.900218575936236</c:v>
                </c:pt>
                <c:pt idx="9">
                  <c:v>24.213221235743507</c:v>
                </c:pt>
                <c:pt idx="10">
                  <c:v>24.490855569303022</c:v>
                </c:pt>
                <c:pt idx="11">
                  <c:v>24.73408214621479</c:v>
                </c:pt>
                <c:pt idx="12">
                  <c:v>24.943839504019234</c:v>
                </c:pt>
                <c:pt idx="13">
                  <c:v>25.121044630980467</c:v>
                </c:pt>
                <c:pt idx="14">
                  <c:v>25.266593438436143</c:v>
                </c:pt>
                <c:pt idx="15">
                  <c:v>25.38136122293593</c:v>
                </c:pt>
                <c:pt idx="16">
                  <c:v>25.46620311838873</c:v>
                </c:pt>
                <c:pt idx="17">
                  <c:v>25.521954538434105</c:v>
                </c:pt>
                <c:pt idx="18">
                  <c:v>25.54943160924874</c:v>
                </c:pt>
                <c:pt idx="19">
                  <c:v>25.54943160924874</c:v>
                </c:pt>
              </c:numCache>
            </c:numRef>
          </c:val>
          <c:smooth val="0"/>
        </c:ser>
        <c:marker val="1"/>
        <c:axId val="8862629"/>
        <c:axId val="35407806"/>
      </c:lineChart>
      <c:catAx>
        <c:axId val="886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Distance from top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407806"/>
        <c:crosses val="autoZero"/>
        <c:auto val="1"/>
        <c:lblOffset val="100"/>
        <c:noMultiLvlLbl val="0"/>
      </c:catAx>
      <c:valAx>
        <c:axId val="3540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88626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Apparent viscosity of soluble coffee, n = 0.9 
(30% water + 70% coffee)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725"/>
          <c:w val="0.9625"/>
          <c:h val="0.8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y = 31282e</a:t>
                    </a:r>
                    <a:r>
                      <a:rPr lang="en-US" cap="none" sz="1000" b="0" i="0" u="none" baseline="30000"/>
                      <a:t>-</a:t>
                    </a:r>
                    <a:r>
                      <a:rPr lang="en-US" cap="none" sz="1100" b="0" i="0" u="none" baseline="30000"/>
                      <a:t>0.0704x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'[1]70%K+30%V (2)'!$H$55:$H$60</c:f>
              <c:numCache>
                <c:ptCount val="6"/>
                <c:pt idx="0">
                  <c:v>22.96</c:v>
                </c:pt>
                <c:pt idx="1">
                  <c:v>30.08</c:v>
                </c:pt>
                <c:pt idx="2">
                  <c:v>39.81</c:v>
                </c:pt>
                <c:pt idx="3">
                  <c:v>50.02</c:v>
                </c:pt>
                <c:pt idx="4">
                  <c:v>59.73</c:v>
                </c:pt>
                <c:pt idx="5">
                  <c:v>69.72</c:v>
                </c:pt>
              </c:numCache>
            </c:numRef>
          </c:xVal>
          <c:yVal>
            <c:numRef>
              <c:f>'[1]70%K+30%V (2)'!$I$55:$I$60</c:f>
              <c:numCache>
                <c:ptCount val="6"/>
                <c:pt idx="0">
                  <c:v>6444.505783762108</c:v>
                </c:pt>
                <c:pt idx="1">
                  <c:v>3552.0652368355986</c:v>
                </c:pt>
                <c:pt idx="2">
                  <c:v>1673.621700804227</c:v>
                </c:pt>
                <c:pt idx="3">
                  <c:v>915.5102800063285</c:v>
                </c:pt>
                <c:pt idx="4">
                  <c:v>724.9018144399711</c:v>
                </c:pt>
                <c:pt idx="5">
                  <c:v>172.72534725433977</c:v>
                </c:pt>
              </c:numCache>
            </c:numRef>
          </c:yVal>
          <c:smooth val="0"/>
        </c:ser>
        <c:axId val="4979023"/>
        <c:axId val="15368856"/>
      </c:scatterChart>
      <c:valAx>
        <c:axId val="4979023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368856"/>
        <c:crossesAt val="10"/>
        <c:crossBetween val="midCat"/>
        <c:dispUnits/>
      </c:valAx>
      <c:valAx>
        <c:axId val="1536885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apparent viscosity [mPa 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79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27</xdr:row>
      <xdr:rowOff>123825</xdr:rowOff>
    </xdr:from>
    <xdr:to>
      <xdr:col>2</xdr:col>
      <xdr:colOff>314325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057400" y="4819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27</xdr:row>
      <xdr:rowOff>104775</xdr:rowOff>
    </xdr:from>
    <xdr:to>
      <xdr:col>1</xdr:col>
      <xdr:colOff>342900</xdr:colOff>
      <xdr:row>29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1400175" y="4800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76200</xdr:rowOff>
    </xdr:from>
    <xdr:to>
      <xdr:col>10</xdr:col>
      <xdr:colOff>352425</xdr:colOff>
      <xdr:row>44</xdr:row>
      <xdr:rowOff>0</xdr:rowOff>
    </xdr:to>
    <xdr:graphicFrame>
      <xdr:nvGraphicFramePr>
        <xdr:cNvPr id="3" name="Chart 15"/>
        <xdr:cNvGraphicFramePr/>
      </xdr:nvGraphicFramePr>
      <xdr:xfrm>
        <a:off x="2867025" y="3962400"/>
        <a:ext cx="53054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30</xdr:row>
      <xdr:rowOff>47625</xdr:rowOff>
    </xdr:from>
    <xdr:to>
      <xdr:col>0</xdr:col>
      <xdr:colOff>695325</xdr:colOff>
      <xdr:row>51</xdr:row>
      <xdr:rowOff>38100</xdr:rowOff>
    </xdr:to>
    <xdr:sp>
      <xdr:nvSpPr>
        <xdr:cNvPr id="4" name="Rectangle 16"/>
        <xdr:cNvSpPr>
          <a:spLocks/>
        </xdr:cNvSpPr>
      </xdr:nvSpPr>
      <xdr:spPr>
        <a:xfrm>
          <a:off x="85725" y="5229225"/>
          <a:ext cx="609600" cy="33909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30</xdr:row>
      <xdr:rowOff>28575</xdr:rowOff>
    </xdr:from>
    <xdr:to>
      <xdr:col>0</xdr:col>
      <xdr:colOff>485775</xdr:colOff>
      <xdr:row>49</xdr:row>
      <xdr:rowOff>152400</xdr:rowOff>
    </xdr:to>
    <xdr:sp>
      <xdr:nvSpPr>
        <xdr:cNvPr id="5" name="Rectangle 17"/>
        <xdr:cNvSpPr>
          <a:spLocks/>
        </xdr:cNvSpPr>
      </xdr:nvSpPr>
      <xdr:spPr>
        <a:xfrm>
          <a:off x="295275" y="5210175"/>
          <a:ext cx="200025" cy="32004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390525</xdr:colOff>
      <xdr:row>30</xdr:row>
      <xdr:rowOff>0</xdr:rowOff>
    </xdr:from>
    <xdr:to>
      <xdr:col>0</xdr:col>
      <xdr:colOff>390525</xdr:colOff>
      <xdr:row>52</xdr:row>
      <xdr:rowOff>76200</xdr:rowOff>
    </xdr:to>
    <xdr:sp>
      <xdr:nvSpPr>
        <xdr:cNvPr id="6" name="Line 18"/>
        <xdr:cNvSpPr>
          <a:spLocks/>
        </xdr:cNvSpPr>
      </xdr:nvSpPr>
      <xdr:spPr>
        <a:xfrm>
          <a:off x="390525" y="5181600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390525</xdr:colOff>
      <xdr:row>28</xdr:row>
      <xdr:rowOff>38100</xdr:rowOff>
    </xdr:from>
    <xdr:to>
      <xdr:col>0</xdr:col>
      <xdr:colOff>390525</xdr:colOff>
      <xdr:row>32</xdr:row>
      <xdr:rowOff>66675</xdr:rowOff>
    </xdr:to>
    <xdr:sp>
      <xdr:nvSpPr>
        <xdr:cNvPr id="7" name="Line 22"/>
        <xdr:cNvSpPr>
          <a:spLocks/>
        </xdr:cNvSpPr>
      </xdr:nvSpPr>
      <xdr:spPr>
        <a:xfrm>
          <a:off x="390525" y="48958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28575</xdr:rowOff>
    </xdr:from>
    <xdr:to>
      <xdr:col>0</xdr:col>
      <xdr:colOff>180975</xdr:colOff>
      <xdr:row>32</xdr:row>
      <xdr:rowOff>47625</xdr:rowOff>
    </xdr:to>
    <xdr:sp>
      <xdr:nvSpPr>
        <xdr:cNvPr id="8" name="Line 23"/>
        <xdr:cNvSpPr>
          <a:spLocks/>
        </xdr:cNvSpPr>
      </xdr:nvSpPr>
      <xdr:spPr>
        <a:xfrm flipV="1">
          <a:off x="180975" y="48863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2</xdr:row>
      <xdr:rowOff>95250</xdr:rowOff>
    </xdr:from>
    <xdr:to>
      <xdr:col>7</xdr:col>
      <xdr:colOff>76200</xdr:colOff>
      <xdr:row>37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19100"/>
          <a:ext cx="428625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31</xdr:row>
      <xdr:rowOff>28575</xdr:rowOff>
    </xdr:from>
    <xdr:to>
      <xdr:col>5</xdr:col>
      <xdr:colOff>523875</xdr:colOff>
      <xdr:row>31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343275" y="5048250"/>
          <a:ext cx="609600" cy="76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257175</xdr:colOff>
      <xdr:row>30</xdr:row>
      <xdr:rowOff>66675</xdr:rowOff>
    </xdr:from>
    <xdr:ext cx="933450" cy="209550"/>
    <xdr:sp>
      <xdr:nvSpPr>
        <xdr:cNvPr id="3" name="TextBox 3"/>
        <xdr:cNvSpPr txBox="1">
          <a:spLocks noChangeArrowheads="1"/>
        </xdr:cNvSpPr>
      </xdr:nvSpPr>
      <xdr:spPr>
        <a:xfrm>
          <a:off x="2314575" y="49244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choking ring</a:t>
          </a:r>
        </a:p>
      </xdr:txBody>
    </xdr:sp>
    <xdr:clientData/>
  </xdr:oneCellAnchor>
  <xdr:twoCellAnchor editAs="oneCell">
    <xdr:from>
      <xdr:col>7</xdr:col>
      <xdr:colOff>361950</xdr:colOff>
      <xdr:row>2</xdr:row>
      <xdr:rowOff>95250</xdr:rowOff>
    </xdr:from>
    <xdr:to>
      <xdr:col>13</xdr:col>
      <xdr:colOff>533400</xdr:colOff>
      <xdr:row>26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419100"/>
          <a:ext cx="42862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0.187</cdr:y>
    </cdr:from>
    <cdr:to>
      <cdr:x>0.97225</cdr:x>
      <cdr:y>0.7485</cdr:y>
    </cdr:to>
    <cdr:sp>
      <cdr:nvSpPr>
        <cdr:cNvPr id="1" name="Line 1"/>
        <cdr:cNvSpPr>
          <a:spLocks/>
        </cdr:cNvSpPr>
      </cdr:nvSpPr>
      <cdr:spPr>
        <a:xfrm>
          <a:off x="695325" y="676275"/>
          <a:ext cx="38290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542925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0" y="161925"/>
        <a:ext cx="4657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%K+30%V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75" zoomScaleNormal="75" workbookViewId="0" topLeftCell="A1">
      <selection activeCell="H17" sqref="H17"/>
    </sheetView>
  </sheetViews>
  <sheetFormatPr defaultColWidth="9.00390625" defaultRowHeight="12.75"/>
  <cols>
    <col min="1" max="1" width="13.875" style="0" customWidth="1"/>
    <col min="6" max="6" width="15.625" style="0" bestFit="1" customWidth="1"/>
    <col min="10" max="10" width="10.125" style="0" customWidth="1"/>
  </cols>
  <sheetData>
    <row r="1" spans="1:11" ht="20.25">
      <c r="A1" s="33" t="s">
        <v>0</v>
      </c>
      <c r="B1" s="33"/>
      <c r="C1" s="33"/>
      <c r="D1" s="33"/>
      <c r="E1" s="34"/>
      <c r="F1" s="34"/>
      <c r="G1" t="s">
        <v>86</v>
      </c>
      <c r="K1" s="27" t="s">
        <v>85</v>
      </c>
    </row>
    <row r="2" ht="12.75">
      <c r="A2" s="26" t="s">
        <v>1</v>
      </c>
    </row>
    <row r="3" spans="1:6" ht="12.75">
      <c r="A3" t="s">
        <v>55</v>
      </c>
      <c r="B3" s="1">
        <v>2</v>
      </c>
      <c r="D3" t="s">
        <v>56</v>
      </c>
      <c r="F3">
        <f>(rout+rin)/2</f>
        <v>0.013000000000000001</v>
      </c>
    </row>
    <row r="4" spans="1:11" ht="15.75">
      <c r="A4" t="s">
        <v>2</v>
      </c>
      <c r="B4" s="19">
        <v>0.4</v>
      </c>
      <c r="C4" t="s">
        <v>8</v>
      </c>
      <c r="D4" s="2" t="s">
        <v>58</v>
      </c>
      <c r="E4" s="2"/>
      <c r="F4" s="24">
        <f>3.141*(rout^2-rin^2)</f>
        <v>0.000489996</v>
      </c>
      <c r="G4" s="2" t="s">
        <v>16</v>
      </c>
      <c r="I4" s="2" t="s">
        <v>17</v>
      </c>
      <c r="J4" s="2">
        <f>ATAN(4*rout/s)</f>
        <v>0.5693131911006619</v>
      </c>
      <c r="K4" s="2" t="s">
        <v>31</v>
      </c>
    </row>
    <row r="5" spans="1:11" ht="15.75">
      <c r="A5" t="s">
        <v>3</v>
      </c>
      <c r="B5" s="19">
        <v>0.01</v>
      </c>
      <c r="C5" t="s">
        <v>8</v>
      </c>
      <c r="D5" s="2" t="s">
        <v>60</v>
      </c>
      <c r="E5" s="2"/>
      <c r="F5" s="4">
        <f>rout-rin</f>
        <v>0.006</v>
      </c>
      <c r="G5" s="2" t="s">
        <v>8</v>
      </c>
      <c r="I5" s="2" t="s">
        <v>29</v>
      </c>
      <c r="J5" s="2">
        <f>L*sa</f>
        <v>0.00019599840000000002</v>
      </c>
      <c r="K5" s="2" t="s">
        <v>30</v>
      </c>
    </row>
    <row r="6" spans="1:7" ht="15.75">
      <c r="A6" t="s">
        <v>4</v>
      </c>
      <c r="B6" s="19">
        <v>0.016</v>
      </c>
      <c r="C6" t="s">
        <v>8</v>
      </c>
      <c r="D6" t="s">
        <v>61</v>
      </c>
      <c r="F6" s="3">
        <f>3.141*rmean*2/n*COS(fi)</f>
        <v>0.03439246810321149</v>
      </c>
      <c r="G6" t="s">
        <v>8</v>
      </c>
    </row>
    <row r="7" spans="1:11" ht="12.75">
      <c r="A7" t="s">
        <v>19</v>
      </c>
      <c r="B7" s="1">
        <v>0.1</v>
      </c>
      <c r="C7" t="s">
        <v>8</v>
      </c>
      <c r="D7" t="s">
        <v>57</v>
      </c>
      <c r="F7" s="23">
        <f>w*h</f>
        <v>0.00020635480861926894</v>
      </c>
      <c r="G7" t="s">
        <v>16</v>
      </c>
      <c r="H7" t="s">
        <v>64</v>
      </c>
      <c r="J7" s="23">
        <f>3.141*rin^2</f>
        <v>0.0003141</v>
      </c>
      <c r="K7" t="s">
        <v>16</v>
      </c>
    </row>
    <row r="8" spans="4:10" ht="12.75">
      <c r="D8" t="s">
        <v>63</v>
      </c>
      <c r="F8" s="3">
        <f>v/st</f>
        <v>0.06367398917542183</v>
      </c>
      <c r="H8" t="s">
        <v>65</v>
      </c>
      <c r="I8">
        <f>v*rho*60</f>
        <v>1.3199999999999998</v>
      </c>
      <c r="J8" t="s">
        <v>54</v>
      </c>
    </row>
    <row r="9" spans="1:10" ht="12.75">
      <c r="A9" s="26" t="s">
        <v>5</v>
      </c>
      <c r="D9" t="s">
        <v>62</v>
      </c>
      <c r="F9" s="3">
        <f>v/sa</f>
        <v>0.040816659727834506</v>
      </c>
      <c r="G9" t="s">
        <v>18</v>
      </c>
      <c r="H9" t="s">
        <v>6</v>
      </c>
      <c r="I9" s="25">
        <f>B10*0.000001</f>
        <v>1.9999999999999998E-05</v>
      </c>
      <c r="J9" t="s">
        <v>66</v>
      </c>
    </row>
    <row r="10" spans="1:7" ht="12.75">
      <c r="A10" t="s">
        <v>67</v>
      </c>
      <c r="B10" s="1">
        <v>20</v>
      </c>
      <c r="C10" t="s">
        <v>7</v>
      </c>
      <c r="D10" s="2" t="s">
        <v>20</v>
      </c>
      <c r="E10" s="2"/>
      <c r="F10" s="5">
        <f>v/(n*sc)</f>
        <v>0.04846022279253163</v>
      </c>
      <c r="G10" s="2" t="s">
        <v>18</v>
      </c>
    </row>
    <row r="11" spans="1:7" ht="15.75">
      <c r="A11" t="s">
        <v>9</v>
      </c>
      <c r="B11" s="1">
        <v>0.04</v>
      </c>
      <c r="C11" t="s">
        <v>10</v>
      </c>
      <c r="D11" s="6" t="s">
        <v>21</v>
      </c>
      <c r="E11" s="6"/>
      <c r="F11" s="7">
        <f>volume/v</f>
        <v>9.799920000000002</v>
      </c>
      <c r="G11" s="6" t="s">
        <v>23</v>
      </c>
    </row>
    <row r="12" spans="1:7" ht="12.75">
      <c r="A12" t="s">
        <v>11</v>
      </c>
      <c r="B12" s="1">
        <v>0.1</v>
      </c>
      <c r="C12" t="s">
        <v>12</v>
      </c>
      <c r="D12" t="s">
        <v>22</v>
      </c>
      <c r="F12" s="22">
        <f>st*L/v</f>
        <v>6.282</v>
      </c>
      <c r="G12" t="s">
        <v>23</v>
      </c>
    </row>
    <row r="13" spans="1:7" ht="12.75">
      <c r="A13" t="s">
        <v>33</v>
      </c>
      <c r="B13" s="1">
        <v>4000</v>
      </c>
      <c r="C13" t="s">
        <v>34</v>
      </c>
      <c r="D13" t="s">
        <v>24</v>
      </c>
      <c r="F13" s="21">
        <f>u/h</f>
        <v>36666.666666666664</v>
      </c>
      <c r="G13" t="s">
        <v>25</v>
      </c>
    </row>
    <row r="14" spans="1:7" ht="12.75">
      <c r="A14" t="s">
        <v>35</v>
      </c>
      <c r="B14" s="1">
        <v>1100</v>
      </c>
      <c r="C14" t="s">
        <v>36</v>
      </c>
      <c r="D14" t="s">
        <v>26</v>
      </c>
      <c r="F14" s="21">
        <f>kappa*F13^2</f>
        <v>53777777.77777777</v>
      </c>
      <c r="G14" t="s">
        <v>27</v>
      </c>
    </row>
    <row r="15" spans="1:9" ht="15.75">
      <c r="A15" t="s">
        <v>69</v>
      </c>
      <c r="B15" s="1">
        <v>0.6</v>
      </c>
      <c r="C15" t="s">
        <v>70</v>
      </c>
      <c r="D15" s="9" t="s">
        <v>28</v>
      </c>
      <c r="E15" s="10"/>
      <c r="F15" s="11">
        <f>volume*F14</f>
        <v>10540.3584</v>
      </c>
      <c r="G15" s="12" t="s">
        <v>32</v>
      </c>
      <c r="H15" s="20">
        <f>2*3.141*L*kappa*u^2/LN(rout/rin)</f>
        <v>10350.51752218813</v>
      </c>
      <c r="I15" t="s">
        <v>59</v>
      </c>
    </row>
    <row r="16" spans="1:7" ht="15.75">
      <c r="A16" s="26" t="s">
        <v>15</v>
      </c>
      <c r="D16" s="13" t="s">
        <v>37</v>
      </c>
      <c r="E16" s="14"/>
      <c r="F16" s="15">
        <f>p/(rho*cp*v)</f>
        <v>119.77680000000001</v>
      </c>
      <c r="G16" s="16" t="s">
        <v>38</v>
      </c>
    </row>
    <row r="17" spans="1:7" ht="12.75">
      <c r="A17" t="s">
        <v>13</v>
      </c>
      <c r="B17" s="1">
        <v>220</v>
      </c>
      <c r="C17" t="s">
        <v>14</v>
      </c>
      <c r="D17" t="s">
        <v>39</v>
      </c>
      <c r="F17" s="35">
        <f>2*w*h/(w+h)</f>
        <v>0.010217489463232986</v>
      </c>
      <c r="G17" t="s">
        <v>8</v>
      </c>
    </row>
    <row r="18" spans="4:7" ht="12.75">
      <c r="D18" s="2" t="s">
        <v>40</v>
      </c>
      <c r="E18" s="2"/>
      <c r="F18" s="8">
        <f>ua*de*rho/mi</f>
        <v>4.587481697628667</v>
      </c>
      <c r="G18" s="2" t="s">
        <v>41</v>
      </c>
    </row>
    <row r="19" spans="1:6" ht="12.75">
      <c r="A19" s="26" t="s">
        <v>68</v>
      </c>
      <c r="D19" t="s">
        <v>42</v>
      </c>
      <c r="F19">
        <f>90/re</f>
        <v>19.61860688109606</v>
      </c>
    </row>
    <row r="20" spans="1:7" ht="12.75">
      <c r="A20" t="s">
        <v>47</v>
      </c>
      <c r="B20" s="18">
        <v>30</v>
      </c>
      <c r="C20" t="s">
        <v>49</v>
      </c>
      <c r="D20" s="2" t="s">
        <v>43</v>
      </c>
      <c r="E20" s="2"/>
      <c r="F20" s="8">
        <f>F19*L/COS(fi)*F10^2*rho/2</f>
        <v>12.033988831550895</v>
      </c>
      <c r="G20" s="2" t="s">
        <v>44</v>
      </c>
    </row>
    <row r="21" spans="1:8" ht="12.75">
      <c r="A21" t="s">
        <v>50</v>
      </c>
      <c r="B21" s="18">
        <v>0.001</v>
      </c>
      <c r="C21" t="s">
        <v>8</v>
      </c>
      <c r="D21" t="s">
        <v>45</v>
      </c>
      <c r="F21" s="17">
        <f>sa*F20</f>
        <v>0.005896606391504612</v>
      </c>
      <c r="G21" t="s">
        <v>46</v>
      </c>
      <c r="H21" t="s">
        <v>48</v>
      </c>
    </row>
    <row r="22" spans="4:8" ht="12.75">
      <c r="D22" s="2" t="s">
        <v>51</v>
      </c>
      <c r="E22" s="2"/>
      <c r="F22" s="2">
        <f>press*0.1*rout/t</f>
        <v>48</v>
      </c>
      <c r="G22" s="2" t="s">
        <v>53</v>
      </c>
      <c r="H22" t="s">
        <v>52</v>
      </c>
    </row>
    <row r="23" spans="1:2" ht="12.75">
      <c r="A23" s="26" t="s">
        <v>71</v>
      </c>
      <c r="B23" s="26"/>
    </row>
    <row r="24" spans="1:3" ht="12.75">
      <c r="A24" t="s">
        <v>72</v>
      </c>
      <c r="B24" s="1">
        <v>20</v>
      </c>
      <c r="C24" t="s">
        <v>73</v>
      </c>
    </row>
    <row r="25" spans="1:2" ht="12.75">
      <c r="A25" t="s">
        <v>74</v>
      </c>
      <c r="B25" s="1">
        <v>0.03</v>
      </c>
    </row>
    <row r="26" spans="1:2" ht="12.75">
      <c r="A26" t="s">
        <v>75</v>
      </c>
      <c r="B26" s="1">
        <v>0.0002</v>
      </c>
    </row>
    <row r="27" ht="12.75">
      <c r="A27" t="s">
        <v>76</v>
      </c>
    </row>
    <row r="28" spans="2:3" ht="12.75">
      <c r="B28" s="31" t="s">
        <v>84</v>
      </c>
      <c r="C28" s="32" t="s">
        <v>83</v>
      </c>
    </row>
    <row r="31" spans="1:3" ht="12.75">
      <c r="A31">
        <f>te</f>
        <v>20</v>
      </c>
      <c r="B31" s="30">
        <f aca="true" t="shared" si="0" ref="B31:B48">(B32*mcp+C31*ds*k+te*kout+2*3.141*dl*($B$25+$B$26*B32)*u^2/LN(rout/rin))/(mcp+ds*k+kout)</f>
        <v>146.715303441393</v>
      </c>
      <c r="C31" s="29">
        <v>20</v>
      </c>
    </row>
    <row r="32" spans="1:7" ht="12.75">
      <c r="A32">
        <f aca="true" t="shared" si="1" ref="A32:A50">te</f>
        <v>20</v>
      </c>
      <c r="B32" s="30">
        <f t="shared" si="0"/>
        <v>138.9269240446827</v>
      </c>
      <c r="C32" s="29">
        <f>IF(ISNUMBER(B32),(C31*mcp+ds*k*B32)/(mcp+ds*k),30)</f>
        <v>20.633341154304567</v>
      </c>
      <c r="D32" t="s">
        <v>82</v>
      </c>
      <c r="E32" t="s">
        <v>82</v>
      </c>
      <c r="F32" t="s">
        <v>82</v>
      </c>
      <c r="G32" t="s">
        <v>82</v>
      </c>
    </row>
    <row r="33" spans="1:5" ht="12.75">
      <c r="A33">
        <f t="shared" si="1"/>
        <v>20</v>
      </c>
      <c r="B33" s="30">
        <f t="shared" si="0"/>
        <v>131.31547016620155</v>
      </c>
      <c r="C33" s="29">
        <f aca="true" t="shared" si="2" ref="C33:C49">IF(ISNUMBER(B33),(C32*mcp+ds*k*B33)/(mcp+ds*k),30)</f>
        <v>21.222774942425954</v>
      </c>
      <c r="D33" t="s">
        <v>82</v>
      </c>
      <c r="E33" t="s">
        <v>82</v>
      </c>
    </row>
    <row r="34" spans="1:3" ht="12.75">
      <c r="A34">
        <f t="shared" si="1"/>
        <v>20</v>
      </c>
      <c r="B34" s="30">
        <f t="shared" si="0"/>
        <v>123.87707814694879</v>
      </c>
      <c r="C34" s="29">
        <f t="shared" si="2"/>
        <v>21.76945682634869</v>
      </c>
    </row>
    <row r="35" spans="1:3" ht="12.75">
      <c r="A35">
        <f t="shared" si="1"/>
        <v>20</v>
      </c>
      <c r="B35" s="30">
        <f t="shared" si="0"/>
        <v>116.60796774939375</v>
      </c>
      <c r="C35" s="29">
        <f t="shared" si="2"/>
        <v>22.274515983163006</v>
      </c>
    </row>
    <row r="36" spans="1:3" ht="12.75">
      <c r="A36">
        <f t="shared" si="1"/>
        <v>20</v>
      </c>
      <c r="B36" s="30">
        <f t="shared" si="0"/>
        <v>109.50444035039439</v>
      </c>
      <c r="C36" s="29">
        <f t="shared" si="2"/>
        <v>22.739055879678663</v>
      </c>
    </row>
    <row r="37" spans="1:3" ht="12.75">
      <c r="A37">
        <f t="shared" si="1"/>
        <v>20</v>
      </c>
      <c r="B37" s="30">
        <f t="shared" si="0"/>
        <v>102.56287717353817</v>
      </c>
      <c r="C37" s="29">
        <f t="shared" si="2"/>
        <v>23.164154834565107</v>
      </c>
    </row>
    <row r="38" spans="1:3" ht="12.75">
      <c r="A38">
        <f t="shared" si="1"/>
        <v>20</v>
      </c>
      <c r="B38" s="30">
        <f t="shared" si="0"/>
        <v>95.77973756004006</v>
      </c>
      <c r="C38" s="29">
        <f t="shared" si="2"/>
        <v>23.55086656828969</v>
      </c>
    </row>
    <row r="39" spans="1:3" ht="12.75">
      <c r="A39">
        <f t="shared" si="1"/>
        <v>20</v>
      </c>
      <c r="B39" s="30">
        <f t="shared" si="0"/>
        <v>89.1515572773508</v>
      </c>
      <c r="C39" s="29">
        <f t="shared" si="2"/>
        <v>23.90022074111975</v>
      </c>
    </row>
    <row r="40" spans="1:3" ht="12.75">
      <c r="A40">
        <f t="shared" si="1"/>
        <v>20</v>
      </c>
      <c r="B40" s="30">
        <f t="shared" si="0"/>
        <v>82.67494686464612</v>
      </c>
      <c r="C40" s="29">
        <f t="shared" si="2"/>
        <v>24.21322347944857</v>
      </c>
    </row>
    <row r="41" spans="1:3" ht="12.75">
      <c r="A41">
        <f t="shared" si="1"/>
        <v>20</v>
      </c>
      <c r="B41" s="30">
        <f t="shared" si="0"/>
        <v>76.34658791712178</v>
      </c>
      <c r="C41" s="29">
        <f t="shared" si="2"/>
        <v>24.490857879530516</v>
      </c>
    </row>
    <row r="42" spans="1:3" ht="12.75">
      <c r="A42">
        <f t="shared" si="1"/>
        <v>20</v>
      </c>
      <c r="B42" s="30">
        <f t="shared" si="0"/>
        <v>70.16323375083053</v>
      </c>
      <c r="C42" s="29">
        <f t="shared" si="2"/>
        <v>24.734084512074155</v>
      </c>
    </row>
    <row r="43" spans="1:3" ht="12.75">
      <c r="A43">
        <f t="shared" si="1"/>
        <v>20</v>
      </c>
      <c r="B43" s="30">
        <f t="shared" si="0"/>
        <v>64.12170781377156</v>
      </c>
      <c r="C43" s="29">
        <f t="shared" si="2"/>
        <v>24.943841915686466</v>
      </c>
    </row>
    <row r="44" spans="1:3" ht="12.75">
      <c r="A44">
        <f t="shared" si="1"/>
        <v>20</v>
      </c>
      <c r="B44" s="30">
        <f t="shared" si="0"/>
        <v>58.21890217712892</v>
      </c>
      <c r="C44" s="29">
        <f t="shared" si="2"/>
        <v>25.121047079654367</v>
      </c>
    </row>
    <row r="45" spans="1:7" ht="12.75">
      <c r="A45">
        <f t="shared" si="1"/>
        <v>20</v>
      </c>
      <c r="B45" s="30">
        <f t="shared" si="0"/>
        <v>52.451776058424386</v>
      </c>
      <c r="C45" s="29">
        <f t="shared" si="2"/>
        <v>25.266595916290356</v>
      </c>
      <c r="E45" t="s">
        <v>77</v>
      </c>
      <c r="F45">
        <f>L/20</f>
        <v>0.02</v>
      </c>
      <c r="G45" t="s">
        <v>87</v>
      </c>
    </row>
    <row r="46" spans="1:7" ht="12.75">
      <c r="A46">
        <f t="shared" si="1"/>
        <v>20</v>
      </c>
      <c r="B46" s="30">
        <f t="shared" si="0"/>
        <v>46.81735437649667</v>
      </c>
      <c r="C46" s="29">
        <f t="shared" si="2"/>
        <v>25.381363723067214</v>
      </c>
      <c r="E46" t="s">
        <v>78</v>
      </c>
      <c r="F46">
        <f>2*3.141*rin*dl</f>
        <v>0.0012564</v>
      </c>
      <c r="G46" t="s">
        <v>16</v>
      </c>
    </row>
    <row r="47" spans="1:7" ht="12.75">
      <c r="A47">
        <f t="shared" si="1"/>
        <v>20</v>
      </c>
      <c r="B47" s="30">
        <f t="shared" si="0"/>
        <v>41.312726337612474</v>
      </c>
      <c r="C47" s="29">
        <f t="shared" si="2"/>
        <v>25.466205634762076</v>
      </c>
      <c r="E47" t="s">
        <v>79</v>
      </c>
      <c r="F47">
        <f>5*lambda/(rmean-rin/2)</f>
        <v>375</v>
      </c>
      <c r="G47" t="s">
        <v>70</v>
      </c>
    </row>
    <row r="48" spans="1:6" ht="12.75">
      <c r="A48">
        <f t="shared" si="1"/>
        <v>20</v>
      </c>
      <c r="B48" s="30">
        <f t="shared" si="0"/>
        <v>35.93504405203667</v>
      </c>
      <c r="C48" s="29">
        <f t="shared" si="2"/>
        <v>25.52195706582518</v>
      </c>
      <c r="E48" t="s">
        <v>80</v>
      </c>
      <c r="F48">
        <f>2*3.141*rout*dl*10</f>
        <v>0.0201024</v>
      </c>
    </row>
    <row r="49" spans="1:6" ht="12.75">
      <c r="A49">
        <f t="shared" si="1"/>
        <v>20</v>
      </c>
      <c r="B49" s="30">
        <f>(B50*mcp+C49*ds*k+te*kout+2*3.141*dl*($B$25+$B$26*B50)*u^2/LN(rout/rin))/(mcp+ds*k+kout)</f>
        <v>30.681521180404143</v>
      </c>
      <c r="C49" s="29">
        <f t="shared" si="2"/>
        <v>25.549434143184122</v>
      </c>
      <c r="E49" t="s">
        <v>81</v>
      </c>
      <c r="F49">
        <f>v*rho*cp</f>
        <v>88</v>
      </c>
    </row>
    <row r="50" spans="1:3" ht="12.75">
      <c r="A50">
        <f t="shared" si="1"/>
        <v>20</v>
      </c>
      <c r="B50" s="28">
        <f>C50</f>
        <v>25.54943160924874</v>
      </c>
      <c r="C50" s="29">
        <f>C49</f>
        <v>25.549434143184122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workbookViewId="0" topLeftCell="A3">
      <selection activeCell="L28" sqref="L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Praha 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PC-418</dc:creator>
  <cp:keywords/>
  <dc:description/>
  <cp:lastModifiedBy>PC-418</cp:lastModifiedBy>
  <dcterms:created xsi:type="dcterms:W3CDTF">1999-08-30T13:10:14Z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